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9" i="1" s="1"/>
  <c r="L7" i="1"/>
  <c r="L9" i="1" s="1"/>
  <c r="M7" i="1"/>
  <c r="N7" i="1"/>
  <c r="O7" i="1"/>
  <c r="Q7" i="1"/>
  <c r="Q9" i="1" s="1"/>
  <c r="R7" i="1"/>
  <c r="R9" i="1" s="1"/>
  <c r="S7" i="1"/>
  <c r="S9" i="1" s="1"/>
  <c r="T7" i="1"/>
  <c r="T9" i="1" s="1"/>
  <c r="U7" i="1"/>
  <c r="U9" i="1" s="1"/>
  <c r="M9" i="1"/>
  <c r="N9" i="1"/>
  <c r="N12" i="1" s="1"/>
  <c r="N17" i="1" s="1"/>
  <c r="O9" i="1"/>
  <c r="O12" i="1" s="1"/>
  <c r="O17" i="1" s="1"/>
  <c r="P9" i="1"/>
  <c r="M12" i="1"/>
  <c r="M17" i="1" s="1"/>
  <c r="M20" i="1"/>
  <c r="M34" i="1" s="1"/>
  <c r="N20" i="1"/>
  <c r="N32" i="1" s="1"/>
  <c r="O20" i="1"/>
  <c r="O32" i="1" s="1"/>
  <c r="M32" i="1"/>
  <c r="M33" i="1"/>
  <c r="K35" i="1"/>
  <c r="L35" i="1"/>
  <c r="M35" i="1"/>
  <c r="N35" i="1"/>
  <c r="O35" i="1"/>
  <c r="Q35" i="1"/>
  <c r="R35" i="1"/>
  <c r="S35" i="1"/>
  <c r="T35" i="1"/>
  <c r="U35" i="1"/>
  <c r="M40" i="1"/>
  <c r="K41" i="1"/>
  <c r="L41" i="1"/>
  <c r="M41" i="1"/>
  <c r="N41" i="1"/>
  <c r="O41" i="1"/>
  <c r="Q41" i="1"/>
  <c r="R41" i="1"/>
  <c r="S41" i="1"/>
  <c r="T41" i="1"/>
  <c r="U41" i="1"/>
  <c r="U20" i="1" l="1"/>
  <c r="U12" i="1"/>
  <c r="U17" i="1" s="1"/>
  <c r="L20" i="1"/>
  <c r="L12" i="1"/>
  <c r="L17" i="1" s="1"/>
  <c r="T20" i="1"/>
  <c r="T12" i="1"/>
  <c r="T17" i="1" s="1"/>
  <c r="S20" i="1"/>
  <c r="S12" i="1"/>
  <c r="S17" i="1" s="1"/>
  <c r="M18" i="1"/>
  <c r="M42" i="1"/>
  <c r="R20" i="1"/>
  <c r="R12" i="1"/>
  <c r="R17" i="1" s="1"/>
  <c r="Q20" i="1"/>
  <c r="Q12" i="1"/>
  <c r="Q17" i="1" s="1"/>
  <c r="O18" i="1"/>
  <c r="O42" i="1"/>
  <c r="N18" i="1"/>
  <c r="N42" i="1"/>
  <c r="K20" i="1"/>
  <c r="K12" i="1"/>
  <c r="K17" i="1" s="1"/>
  <c r="O34" i="1"/>
  <c r="N34" i="1"/>
  <c r="O33" i="1"/>
  <c r="N33" i="1"/>
  <c r="O40" i="1"/>
  <c r="N40" i="1"/>
  <c r="B38" i="1"/>
  <c r="C38" i="1"/>
  <c r="D38" i="1"/>
  <c r="E38" i="1"/>
  <c r="F38" i="1"/>
  <c r="B39" i="1"/>
  <c r="C39" i="1"/>
  <c r="D39" i="1"/>
  <c r="E39" i="1"/>
  <c r="F39" i="1"/>
  <c r="B41" i="1"/>
  <c r="C41" i="1"/>
  <c r="D41" i="1"/>
  <c r="E41" i="1"/>
  <c r="F41" i="1"/>
  <c r="S34" i="1" l="1"/>
  <c r="S32" i="1"/>
  <c r="S40" i="1"/>
  <c r="S33" i="1"/>
  <c r="Q18" i="1"/>
  <c r="Q42" i="1"/>
  <c r="Q32" i="1"/>
  <c r="Q40" i="1"/>
  <c r="Q33" i="1"/>
  <c r="Q34" i="1"/>
  <c r="K18" i="1"/>
  <c r="K42" i="1"/>
  <c r="R18" i="1"/>
  <c r="R42" i="1"/>
  <c r="L18" i="1"/>
  <c r="L42" i="1"/>
  <c r="K34" i="1"/>
  <c r="K32" i="1"/>
  <c r="K40" i="1"/>
  <c r="K33" i="1"/>
  <c r="R32" i="1"/>
  <c r="R40" i="1"/>
  <c r="R33" i="1"/>
  <c r="R34" i="1"/>
  <c r="L33" i="1"/>
  <c r="L40" i="1"/>
  <c r="L34" i="1"/>
  <c r="L32" i="1"/>
  <c r="T34" i="1"/>
  <c r="T32" i="1"/>
  <c r="T40" i="1"/>
  <c r="T33" i="1"/>
  <c r="U18" i="1"/>
  <c r="U42" i="1"/>
  <c r="S18" i="1"/>
  <c r="S42" i="1"/>
  <c r="T18" i="1"/>
  <c r="T42" i="1"/>
  <c r="U33" i="1"/>
  <c r="U34" i="1"/>
  <c r="U32" i="1"/>
  <c r="U40" i="1"/>
  <c r="AH28" i="1"/>
  <c r="AH22" i="1" s="1"/>
  <c r="AF28" i="1"/>
  <c r="AF22" i="1" s="1"/>
  <c r="AG28" i="1"/>
  <c r="AG22" i="1" s="1"/>
  <c r="AG41" i="1" s="1"/>
  <c r="AE28" i="1"/>
  <c r="AE22" i="1" s="1"/>
  <c r="AE41" i="1" s="1"/>
  <c r="AD28" i="1"/>
  <c r="AD22" i="1" s="1"/>
  <c r="AB28" i="1"/>
  <c r="AB22" i="1" s="1"/>
  <c r="AB35" i="1" s="1"/>
  <c r="Z28" i="1"/>
  <c r="Z22" i="1" s="1"/>
  <c r="Z35" i="1" s="1"/>
  <c r="AA28" i="1"/>
  <c r="AA22" i="1" s="1"/>
  <c r="Y28" i="1"/>
  <c r="Y22" i="1" s="1"/>
  <c r="Y41" i="1" s="1"/>
  <c r="X28" i="1"/>
  <c r="X22" i="1" s="1"/>
  <c r="AC9" i="1"/>
  <c r="AH7" i="1"/>
  <c r="AH9" i="1" s="1"/>
  <c r="AH12" i="1" s="1"/>
  <c r="AF7" i="1"/>
  <c r="AF9" i="1" s="1"/>
  <c r="AF12" i="1" s="1"/>
  <c r="AG7" i="1"/>
  <c r="AG9" i="1" s="1"/>
  <c r="AE7" i="1"/>
  <c r="AE9" i="1" s="1"/>
  <c r="AE20" i="1" s="1"/>
  <c r="AD7" i="1"/>
  <c r="AD9" i="1" s="1"/>
  <c r="AB7" i="1"/>
  <c r="AB9" i="1" s="1"/>
  <c r="Z7" i="1"/>
  <c r="Z9" i="1" s="1"/>
  <c r="Z12" i="1" s="1"/>
  <c r="AA7" i="1"/>
  <c r="AA9" i="1" s="1"/>
  <c r="Y7" i="1"/>
  <c r="Y9" i="1" s="1"/>
  <c r="X7" i="1"/>
  <c r="X9" i="1" s="1"/>
  <c r="AA29" i="1" l="1"/>
  <c r="AA14" i="1" s="1"/>
  <c r="AA41" i="1"/>
  <c r="AF29" i="1"/>
  <c r="AF14" i="1" s="1"/>
  <c r="AF17" i="1" s="1"/>
  <c r="AF18" i="1" s="1"/>
  <c r="AF41" i="1"/>
  <c r="AH35" i="1"/>
  <c r="AH29" i="1"/>
  <c r="AH14" i="1" s="1"/>
  <c r="AH17" i="1" s="1"/>
  <c r="AH18" i="1" s="1"/>
  <c r="AH41" i="1"/>
  <c r="Z29" i="1"/>
  <c r="Z14" i="1" s="1"/>
  <c r="Z17" i="1" s="1"/>
  <c r="AB29" i="1"/>
  <c r="AB14" i="1" s="1"/>
  <c r="Z41" i="1"/>
  <c r="AB41" i="1"/>
  <c r="AE34" i="1"/>
  <c r="AE33" i="1"/>
  <c r="AE40" i="1"/>
  <c r="AB20" i="1"/>
  <c r="AB12" i="1"/>
  <c r="AD41" i="1"/>
  <c r="AD29" i="1"/>
  <c r="AD14" i="1" s="1"/>
  <c r="AD35" i="1"/>
  <c r="X35" i="1"/>
  <c r="X29" i="1"/>
  <c r="X14" i="1" s="1"/>
  <c r="X41" i="1"/>
  <c r="AE35" i="1"/>
  <c r="AE29" i="1"/>
  <c r="AE14" i="1" s="1"/>
  <c r="AE32" i="1" s="1"/>
  <c r="Y35" i="1"/>
  <c r="AG35" i="1"/>
  <c r="Y29" i="1"/>
  <c r="Y14" i="1" s="1"/>
  <c r="AG29" i="1"/>
  <c r="AG14" i="1" s="1"/>
  <c r="AA35" i="1"/>
  <c r="AF35" i="1"/>
  <c r="AD20" i="1"/>
  <c r="AD12" i="1"/>
  <c r="X20" i="1"/>
  <c r="X12" i="1"/>
  <c r="Y20" i="1"/>
  <c r="Y12" i="1"/>
  <c r="AG20" i="1"/>
  <c r="AG12" i="1"/>
  <c r="AA12" i="1"/>
  <c r="AA20" i="1"/>
  <c r="AF20" i="1"/>
  <c r="Z20" i="1"/>
  <c r="AE12" i="1"/>
  <c r="AH20" i="1"/>
  <c r="F63" i="1"/>
  <c r="E63" i="1"/>
  <c r="D63" i="1"/>
  <c r="C63" i="1"/>
  <c r="F62" i="1"/>
  <c r="E62" i="1"/>
  <c r="D62" i="1"/>
  <c r="C62" i="1"/>
  <c r="B62" i="1"/>
  <c r="B63" i="1"/>
  <c r="F54" i="1"/>
  <c r="E54" i="1"/>
  <c r="D54" i="1"/>
  <c r="C54" i="1"/>
  <c r="F53" i="1"/>
  <c r="E53" i="1"/>
  <c r="D53" i="1"/>
  <c r="C53" i="1"/>
  <c r="B54" i="1"/>
  <c r="B53" i="1"/>
  <c r="F52" i="1"/>
  <c r="E52" i="1"/>
  <c r="D52" i="1"/>
  <c r="C52" i="1"/>
  <c r="B52" i="1"/>
  <c r="F51" i="1"/>
  <c r="E51" i="1"/>
  <c r="D51" i="1"/>
  <c r="C51" i="1"/>
  <c r="B51" i="1"/>
  <c r="F27" i="1"/>
  <c r="F37" i="1" s="1"/>
  <c r="E27" i="1"/>
  <c r="E37" i="1" s="1"/>
  <c r="D27" i="1"/>
  <c r="D37" i="1" s="1"/>
  <c r="C27" i="1"/>
  <c r="C37" i="1" s="1"/>
  <c r="B27" i="1"/>
  <c r="B37" i="1" s="1"/>
  <c r="F15" i="1"/>
  <c r="F16" i="1" s="1"/>
  <c r="F64" i="1" s="1"/>
  <c r="E15" i="1"/>
  <c r="E16" i="1" s="1"/>
  <c r="E64" i="1" s="1"/>
  <c r="D15" i="1"/>
  <c r="D16" i="1" s="1"/>
  <c r="D64" i="1" s="1"/>
  <c r="C15" i="1"/>
  <c r="C16" i="1" s="1"/>
  <c r="C64" i="1" s="1"/>
  <c r="B15" i="1"/>
  <c r="B16" i="1" s="1"/>
  <c r="B64" i="1" s="1"/>
  <c r="X17" i="1" l="1"/>
  <c r="X18" i="1" s="1"/>
  <c r="AF42" i="1"/>
  <c r="AB17" i="1"/>
  <c r="AB18" i="1" s="1"/>
  <c r="AA17" i="1"/>
  <c r="AA18" i="1" s="1"/>
  <c r="Y17" i="1"/>
  <c r="Y18" i="1" s="1"/>
  <c r="AE17" i="1"/>
  <c r="AE18" i="1" s="1"/>
  <c r="AH33" i="1"/>
  <c r="AH40" i="1"/>
  <c r="AH34" i="1"/>
  <c r="AH32" i="1"/>
  <c r="Y32" i="1"/>
  <c r="Y40" i="1"/>
  <c r="Y34" i="1"/>
  <c r="Y33" i="1"/>
  <c r="AF33" i="1"/>
  <c r="AF40" i="1"/>
  <c r="AF34" i="1"/>
  <c r="AF32" i="1"/>
  <c r="AD17" i="1"/>
  <c r="AD18" i="1" s="1"/>
  <c r="AD32" i="1"/>
  <c r="AD33" i="1"/>
  <c r="AD40" i="1"/>
  <c r="AD34" i="1"/>
  <c r="AB33" i="1"/>
  <c r="AB40" i="1"/>
  <c r="AB32" i="1"/>
  <c r="AB34" i="1"/>
  <c r="Z40" i="1"/>
  <c r="Z32" i="1"/>
  <c r="Z33" i="1"/>
  <c r="Z34" i="1"/>
  <c r="X32" i="1"/>
  <c r="X34" i="1"/>
  <c r="X33" i="1"/>
  <c r="X40" i="1"/>
  <c r="AG17" i="1"/>
  <c r="AG18" i="1" s="1"/>
  <c r="AH42" i="1"/>
  <c r="AG34" i="1"/>
  <c r="AG32" i="1"/>
  <c r="AG40" i="1"/>
  <c r="AG33" i="1"/>
  <c r="AA34" i="1"/>
  <c r="AA32" i="1"/>
  <c r="AA40" i="1"/>
  <c r="AA33" i="1"/>
  <c r="Z18" i="1"/>
  <c r="Z42" i="1"/>
  <c r="C18" i="1"/>
  <c r="C20" i="1" s="1"/>
  <c r="D18" i="1"/>
  <c r="D20" i="1" s="1"/>
  <c r="E18" i="1"/>
  <c r="E20" i="1" s="1"/>
  <c r="F18" i="1"/>
  <c r="F20" i="1" s="1"/>
  <c r="B18" i="1"/>
  <c r="B20" i="1" s="1"/>
  <c r="AB42" i="1" l="1"/>
  <c r="X42" i="1"/>
  <c r="AA42" i="1"/>
  <c r="AD42" i="1"/>
  <c r="AG42" i="1"/>
  <c r="AE42" i="1"/>
  <c r="Y42" i="1"/>
  <c r="F47" i="1"/>
  <c r="F43" i="1"/>
  <c r="C43" i="1"/>
  <c r="C47" i="1"/>
  <c r="E47" i="1"/>
  <c r="E43" i="1"/>
  <c r="D47" i="1"/>
  <c r="D43" i="1"/>
  <c r="B47" i="1"/>
  <c r="B43" i="1"/>
</calcChain>
</file>

<file path=xl/sharedStrings.xml><?xml version="1.0" encoding="utf-8"?>
<sst xmlns="http://schemas.openxmlformats.org/spreadsheetml/2006/main" count="229" uniqueCount="76">
  <si>
    <t>Newfoundland Power</t>
  </si>
  <si>
    <t>Revenue</t>
  </si>
  <si>
    <t>Operating expenses</t>
  </si>
  <si>
    <t>Earnings Before Income Taxes</t>
  </si>
  <si>
    <t>Net Earnings</t>
  </si>
  <si>
    <t>Preference share dividends</t>
  </si>
  <si>
    <t>Net Earnings Applicable to Common Shares</t>
  </si>
  <si>
    <t>2015E</t>
  </si>
  <si>
    <t>2016E</t>
  </si>
  <si>
    <t>2017E</t>
  </si>
  <si>
    <t>Contribution</t>
  </si>
  <si>
    <t>Deferred Cost recoveries and amortization</t>
  </si>
  <si>
    <t>Employee future benefit costs</t>
  </si>
  <si>
    <t>Depreciation</t>
  </si>
  <si>
    <t>Figures taken from NP Exhibit 3 page 1</t>
  </si>
  <si>
    <t>Income taxes</t>
  </si>
  <si>
    <t>Other revenue</t>
  </si>
  <si>
    <t>Finance charges*</t>
  </si>
  <si>
    <t>Finance Charges breakdown according to Exhibit 3 page 7</t>
  </si>
  <si>
    <t>Interest on long-term debt</t>
  </si>
  <si>
    <t>Other interest</t>
  </si>
  <si>
    <t>Amortization of bond issue expenses</t>
  </si>
  <si>
    <t>Total Finance charges</t>
  </si>
  <si>
    <t>AFUDC (Interest during construction - according to Table 14 on page 25 of Grant Thornton report)</t>
  </si>
  <si>
    <t>(CFO Pre-WC) / Debt</t>
  </si>
  <si>
    <t>CFO Pre-WC (from page 4 of Exhibit 3)</t>
  </si>
  <si>
    <t>Debt (average) - page 6 of Exhibit 3</t>
  </si>
  <si>
    <t>(CFO Pre-WC + Interest) /Interest v1 Total financing charges</t>
  </si>
  <si>
    <t>(CFO Pre-WC + Interest) /Interest v2 using Interest expenses only</t>
  </si>
  <si>
    <t>(CFO Pre-WC + Interest) /Interest v3 using Interest expenses plus bond amortization expenses only</t>
  </si>
  <si>
    <t>Common Equity (average) - page 6 of Exhibit 3</t>
  </si>
  <si>
    <t>Preferred shares (average) - page 6 of Exhibit 3</t>
  </si>
  <si>
    <t>ROE</t>
  </si>
  <si>
    <t>Calculate ROE using NI avail to CS and Equity figures above</t>
  </si>
  <si>
    <t>USING 45% Equity Ratio</t>
  </si>
  <si>
    <t>USING 40% Equity Ratio</t>
  </si>
  <si>
    <t>Implied net income avail to CS holders</t>
  </si>
  <si>
    <t>Add back Pref share dividends from Exhibit 3</t>
  </si>
  <si>
    <t>Implied net income</t>
  </si>
  <si>
    <t>(using tax rate of 28.8% for 2016 and 29.14% from 2017 tax rate estimates for 2016 and 2017 from page 1 of Exhibit 3)</t>
  </si>
  <si>
    <t>CFO Pre-WC = net income (from above) + non-cash items estimates for 2016 and 2017 from page 4 of Exhibit 3</t>
  </si>
  <si>
    <t>EBIT</t>
  </si>
  <si>
    <t>NOTES:</t>
  </si>
  <si>
    <t xml:space="preserve"> Capitalization includes Deferred Taxes as per CA-NP-028 Response Attachment A, page 23</t>
  </si>
  <si>
    <t xml:space="preserve"> CFO Pre-WC + Interest) /Interest adds interest expense to top and bottom as per CA-NP-028 Response Attachment A, page 23 - so v2 above</t>
  </si>
  <si>
    <t>Deferred Income Taxes from page 3 of Exhibit 3</t>
  </si>
  <si>
    <t>Common Share Dividends from page 2 of Exhibit 3</t>
  </si>
  <si>
    <t>Payout ratio (common shares) - calculate using NI avail to CS</t>
  </si>
  <si>
    <t>Moody's Metrics - calculated</t>
  </si>
  <si>
    <t>DBRS Metrics - calculated</t>
  </si>
  <si>
    <t>Cash flow to debt</t>
  </si>
  <si>
    <t>Debt to Capital</t>
  </si>
  <si>
    <t>EBIT to Interest</t>
  </si>
  <si>
    <t>EBIT to Interest uses "gross" interest expense</t>
  </si>
  <si>
    <t>CF to debt is CFO pre-WC</t>
  </si>
  <si>
    <t>CFO Total (from page 4 of Exhibit 3)</t>
  </si>
  <si>
    <t xml:space="preserve">Earnings before taxes </t>
  </si>
  <si>
    <t>Add back taxes to find EBT</t>
  </si>
  <si>
    <t>EBITDA</t>
  </si>
  <si>
    <t>CFO PreWC</t>
  </si>
  <si>
    <t>RATIOS</t>
  </si>
  <si>
    <t xml:space="preserve">(CFO pre-WC + Interest)/Interest </t>
  </si>
  <si>
    <t xml:space="preserve">CFO pre-WC/Debt </t>
  </si>
  <si>
    <t xml:space="preserve">(CFO pre-WC - Dividends) /Debt </t>
  </si>
  <si>
    <t>Debt/Capitalization  (where Cap includes Deferred taxes)</t>
  </si>
  <si>
    <t>Debt - assuming w debt issued to get ER = 40%</t>
  </si>
  <si>
    <t>Total Cap implied by 40% CE ratio</t>
  </si>
  <si>
    <t>Interest on long-term debt (existing plus interest on new LT debt)</t>
  </si>
  <si>
    <t>New debt issued (total)</t>
  </si>
  <si>
    <t>Assume issue new long-term debt at 4.45%</t>
  </si>
  <si>
    <t>USING 40% Equity Ratio (4.45% rate assumed)</t>
  </si>
  <si>
    <t>Table 15 Data and calculations</t>
  </si>
  <si>
    <t>I note there is slight discrepency from the numbers provided in page 1 of Exhibit 3 - I use the numbers from page 7, since a breakdown is provided.</t>
  </si>
  <si>
    <t>(CFO pre-WC - Dividends) /Debt</t>
  </si>
  <si>
    <t xml:space="preserve">Debt/Capitalization </t>
  </si>
  <si>
    <t>APPENDIX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</si>
</sst>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Font="1"/>
    <xf numFmtId="0" fontId="0" fillId="0" borderId="0" xfId="0" applyAlignment="1"/>
    <xf numFmtId="164" fontId="0" fillId="0" borderId="0" xfId="0" applyNumberFormat="1" applyFont="1" applyAlignment="1">
      <alignment horizontal="right"/>
    </xf>
    <xf numFmtId="10" fontId="0" fillId="0" borderId="0" xfId="0" applyNumberFormat="1" applyFont="1" applyAlignment="1">
      <alignment horizontal="right"/>
    </xf>
    <xf numFmtId="1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3"/>
  <sheetViews>
    <sheetView tabSelected="1" workbookViewId="0">
      <selection activeCell="B1" sqref="B1"/>
    </sheetView>
  </sheetViews>
  <sheetFormatPr defaultRowHeight="15" x14ac:dyDescent="0.25"/>
  <cols>
    <col min="1" max="1" width="84.5703125" customWidth="1"/>
    <col min="2" max="2" width="10" customWidth="1"/>
    <col min="3" max="3" width="11.28515625" customWidth="1"/>
    <col min="4" max="4" width="10.7109375" customWidth="1"/>
    <col min="7" max="7" width="30.140625" bestFit="1" customWidth="1"/>
    <col min="8" max="8" width="13" customWidth="1"/>
    <col min="9" max="9" width="12.7109375" customWidth="1"/>
    <col min="10" max="10" width="51.7109375" customWidth="1"/>
    <col min="11" max="11" width="13" customWidth="1"/>
    <col min="12" max="12" width="13.5703125" customWidth="1"/>
    <col min="13" max="13" width="12.42578125" customWidth="1"/>
    <col min="14" max="14" width="13.85546875" customWidth="1"/>
    <col min="15" max="15" width="12.7109375" customWidth="1"/>
    <col min="16" max="16" width="13.5703125" customWidth="1"/>
    <col min="18" max="18" width="12.5703125" customWidth="1"/>
    <col min="19" max="19" width="12.42578125" customWidth="1"/>
    <col min="20" max="20" width="12.85546875" customWidth="1"/>
    <col min="21" max="21" width="12" customWidth="1"/>
    <col min="23" max="23" width="56" customWidth="1"/>
    <col min="25" max="25" width="11.5703125" customWidth="1"/>
    <col min="26" max="26" width="12.140625" customWidth="1"/>
    <col min="27" max="27" width="12.85546875" customWidth="1"/>
    <col min="35" max="35" width="55.5703125" customWidth="1"/>
    <col min="37" max="37" width="13.140625" customWidth="1"/>
    <col min="38" max="38" width="11.5703125" customWidth="1"/>
    <col min="39" max="39" width="11.85546875" customWidth="1"/>
  </cols>
  <sheetData>
    <row r="1" spans="1:50" ht="14.45" x14ac:dyDescent="0.35">
      <c r="A1" s="2" t="s">
        <v>75</v>
      </c>
      <c r="B1" s="2" t="s">
        <v>71</v>
      </c>
      <c r="K1" s="2" t="s">
        <v>34</v>
      </c>
      <c r="Q1" s="2" t="s">
        <v>34</v>
      </c>
      <c r="X1" s="2" t="s">
        <v>35</v>
      </c>
      <c r="AA1" t="s">
        <v>69</v>
      </c>
      <c r="AJ1" s="2"/>
    </row>
    <row r="2" spans="1:50" ht="14.45" x14ac:dyDescent="0.35">
      <c r="K2" t="s">
        <v>32</v>
      </c>
      <c r="L2" t="s">
        <v>32</v>
      </c>
      <c r="M2" t="s">
        <v>32</v>
      </c>
      <c r="N2" t="s">
        <v>32</v>
      </c>
      <c r="O2" t="s">
        <v>32</v>
      </c>
      <c r="Q2" t="s">
        <v>32</v>
      </c>
      <c r="R2" t="s">
        <v>32</v>
      </c>
      <c r="S2" t="s">
        <v>32</v>
      </c>
      <c r="T2" t="s">
        <v>32</v>
      </c>
      <c r="U2" t="s">
        <v>32</v>
      </c>
      <c r="X2" t="s">
        <v>32</v>
      </c>
      <c r="Y2" t="s">
        <v>32</v>
      </c>
      <c r="Z2" t="s">
        <v>32</v>
      </c>
      <c r="AA2" t="s">
        <v>32</v>
      </c>
      <c r="AB2" t="s">
        <v>32</v>
      </c>
      <c r="AD2" t="s">
        <v>32</v>
      </c>
      <c r="AE2" t="s">
        <v>32</v>
      </c>
      <c r="AF2" t="s">
        <v>32</v>
      </c>
      <c r="AG2" t="s">
        <v>32</v>
      </c>
      <c r="AH2" t="s">
        <v>32</v>
      </c>
    </row>
    <row r="3" spans="1:50" ht="14.45" x14ac:dyDescent="0.35">
      <c r="B3" s="2" t="s">
        <v>14</v>
      </c>
      <c r="K3" s="6">
        <v>7.4999999999999997E-2</v>
      </c>
      <c r="L3" s="6">
        <v>0.08</v>
      </c>
      <c r="M3" s="6">
        <v>8.3000000000000004E-2</v>
      </c>
      <c r="N3" s="6">
        <v>8.5000000000000006E-2</v>
      </c>
      <c r="O3" s="6">
        <v>8.7999999999999995E-2</v>
      </c>
      <c r="P3" s="6"/>
      <c r="Q3" s="6">
        <v>7.4999999999999997E-2</v>
      </c>
      <c r="R3" s="6">
        <v>0.08</v>
      </c>
      <c r="S3" s="6">
        <v>8.3000000000000004E-2</v>
      </c>
      <c r="T3" s="6">
        <v>8.5000000000000006E-2</v>
      </c>
      <c r="U3" s="6">
        <v>8.7999999999999995E-2</v>
      </c>
      <c r="V3" s="6"/>
      <c r="X3" s="6">
        <v>7.4999999999999997E-2</v>
      </c>
      <c r="Y3" s="6">
        <v>0.08</v>
      </c>
      <c r="Z3" s="6">
        <v>8.3000000000000004E-2</v>
      </c>
      <c r="AA3" s="6">
        <v>8.5000000000000006E-2</v>
      </c>
      <c r="AB3" s="6">
        <v>8.7999999999999995E-2</v>
      </c>
      <c r="AC3" s="6"/>
      <c r="AD3" s="6">
        <v>7.4999999999999997E-2</v>
      </c>
      <c r="AE3" s="6">
        <v>0.08</v>
      </c>
      <c r="AF3" s="6">
        <v>8.3000000000000004E-2</v>
      </c>
      <c r="AG3" s="6">
        <v>8.5000000000000006E-2</v>
      </c>
      <c r="AH3" s="6">
        <v>8.7999999999999995E-2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0" ht="14.45" x14ac:dyDescent="0.35">
      <c r="A4" s="1" t="s">
        <v>0</v>
      </c>
      <c r="B4" s="5">
        <v>2013</v>
      </c>
      <c r="C4" s="5">
        <v>2014</v>
      </c>
      <c r="D4" s="5" t="s">
        <v>7</v>
      </c>
      <c r="E4" s="5" t="s">
        <v>8</v>
      </c>
      <c r="F4" s="5" t="s">
        <v>9</v>
      </c>
      <c r="G4" s="5"/>
      <c r="H4" s="5"/>
      <c r="K4" s="5" t="s">
        <v>8</v>
      </c>
      <c r="L4" s="5" t="s">
        <v>8</v>
      </c>
      <c r="M4" s="5" t="s">
        <v>8</v>
      </c>
      <c r="N4" s="5" t="s">
        <v>8</v>
      </c>
      <c r="O4" s="5" t="s">
        <v>8</v>
      </c>
      <c r="P4" s="5"/>
      <c r="Q4" s="5" t="s">
        <v>9</v>
      </c>
      <c r="R4" s="5" t="s">
        <v>9</v>
      </c>
      <c r="S4" s="5" t="s">
        <v>9</v>
      </c>
      <c r="T4" s="5" t="s">
        <v>9</v>
      </c>
      <c r="U4" s="5" t="s">
        <v>9</v>
      </c>
      <c r="V4" s="5"/>
      <c r="X4" s="5" t="s">
        <v>8</v>
      </c>
      <c r="Y4" s="5" t="s">
        <v>8</v>
      </c>
      <c r="Z4" s="5" t="s">
        <v>8</v>
      </c>
      <c r="AA4" s="5" t="s">
        <v>8</v>
      </c>
      <c r="AB4" s="5" t="s">
        <v>8</v>
      </c>
      <c r="AC4" s="5"/>
      <c r="AD4" s="5" t="s">
        <v>9</v>
      </c>
      <c r="AE4" s="5" t="s">
        <v>9</v>
      </c>
      <c r="AF4" s="5" t="s">
        <v>9</v>
      </c>
      <c r="AG4" s="5" t="s">
        <v>9</v>
      </c>
      <c r="AH4" s="5" t="s">
        <v>9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ht="14.45" x14ac:dyDescent="0.35">
      <c r="A5" s="2" t="s">
        <v>1</v>
      </c>
      <c r="B5">
        <v>586904</v>
      </c>
      <c r="C5">
        <v>619504</v>
      </c>
      <c r="D5">
        <v>639673</v>
      </c>
      <c r="E5">
        <v>661775</v>
      </c>
      <c r="F5">
        <v>665246</v>
      </c>
    </row>
    <row r="6" spans="1:50" ht="14.45" x14ac:dyDescent="0.35">
      <c r="J6" s="2" t="s">
        <v>30</v>
      </c>
      <c r="K6">
        <v>474060</v>
      </c>
      <c r="L6">
        <v>474060</v>
      </c>
      <c r="M6">
        <v>474060</v>
      </c>
      <c r="N6">
        <v>474060</v>
      </c>
      <c r="O6">
        <v>474060</v>
      </c>
      <c r="Q6">
        <v>493739</v>
      </c>
      <c r="R6">
        <v>493739</v>
      </c>
      <c r="S6">
        <v>493739</v>
      </c>
      <c r="T6">
        <v>493739</v>
      </c>
      <c r="U6">
        <v>493739</v>
      </c>
      <c r="W6" s="2" t="s">
        <v>30</v>
      </c>
      <c r="X6">
        <v>474060</v>
      </c>
      <c r="Y6">
        <v>474060</v>
      </c>
      <c r="Z6">
        <v>474060</v>
      </c>
      <c r="AA6">
        <v>474060</v>
      </c>
      <c r="AB6">
        <v>474060</v>
      </c>
      <c r="AD6">
        <v>493739</v>
      </c>
      <c r="AE6">
        <v>493739</v>
      </c>
      <c r="AF6">
        <v>493739</v>
      </c>
      <c r="AG6">
        <v>493739</v>
      </c>
      <c r="AH6">
        <v>493739</v>
      </c>
      <c r="AI6" s="2"/>
    </row>
    <row r="7" spans="1:50" ht="14.45" x14ac:dyDescent="0.35">
      <c r="A7" s="2" t="s">
        <v>10</v>
      </c>
      <c r="B7">
        <v>207062</v>
      </c>
      <c r="C7">
        <v>220700</v>
      </c>
      <c r="D7">
        <v>224133</v>
      </c>
      <c r="E7">
        <v>219250</v>
      </c>
      <c r="F7">
        <v>218302</v>
      </c>
      <c r="J7" t="s">
        <v>36</v>
      </c>
      <c r="K7">
        <f>K3*K6</f>
        <v>35554.5</v>
      </c>
      <c r="L7">
        <f t="shared" ref="L7:O7" si="0">L3*L6</f>
        <v>37924.800000000003</v>
      </c>
      <c r="M7">
        <f>M3*M6</f>
        <v>39346.980000000003</v>
      </c>
      <c r="N7">
        <f t="shared" si="0"/>
        <v>40295.100000000006</v>
      </c>
      <c r="O7">
        <f t="shared" si="0"/>
        <v>41717.279999999999</v>
      </c>
      <c r="Q7">
        <f t="shared" ref="Q7:U7" si="1">Q3*Q6</f>
        <v>37030.424999999996</v>
      </c>
      <c r="R7">
        <f t="shared" si="1"/>
        <v>39499.120000000003</v>
      </c>
      <c r="S7">
        <f>S3*S6</f>
        <v>40980.337</v>
      </c>
      <c r="T7">
        <f t="shared" si="1"/>
        <v>41967.815000000002</v>
      </c>
      <c r="U7">
        <f t="shared" si="1"/>
        <v>43449.031999999999</v>
      </c>
      <c r="W7" t="s">
        <v>36</v>
      </c>
      <c r="X7">
        <f>X3*X6</f>
        <v>35554.5</v>
      </c>
      <c r="Y7">
        <f t="shared" ref="Y7:AB7" si="2">Y3*Y6</f>
        <v>37924.800000000003</v>
      </c>
      <c r="Z7">
        <f>Z3*Z6</f>
        <v>39346.980000000003</v>
      </c>
      <c r="AA7">
        <f t="shared" si="2"/>
        <v>40295.100000000006</v>
      </c>
      <c r="AB7">
        <f t="shared" si="2"/>
        <v>41717.279999999999</v>
      </c>
      <c r="AD7">
        <f t="shared" ref="AD7:AH7" si="3">AD3*AD6</f>
        <v>37030.424999999996</v>
      </c>
      <c r="AE7">
        <f t="shared" si="3"/>
        <v>39499.120000000003</v>
      </c>
      <c r="AF7">
        <f>AF3*AF6</f>
        <v>40980.337</v>
      </c>
      <c r="AG7">
        <f t="shared" si="3"/>
        <v>41967.815000000002</v>
      </c>
      <c r="AH7">
        <f t="shared" si="3"/>
        <v>43449.031999999999</v>
      </c>
    </row>
    <row r="8" spans="1:50" ht="14.45" x14ac:dyDescent="0.35">
      <c r="A8" s="3" t="s">
        <v>16</v>
      </c>
      <c r="B8">
        <v>7445</v>
      </c>
      <c r="C8">
        <v>5570</v>
      </c>
      <c r="D8">
        <v>4911</v>
      </c>
      <c r="E8">
        <v>4842</v>
      </c>
      <c r="F8">
        <v>4770</v>
      </c>
      <c r="J8" t="s">
        <v>37</v>
      </c>
      <c r="K8">
        <v>552</v>
      </c>
      <c r="L8">
        <v>552</v>
      </c>
      <c r="M8">
        <v>552</v>
      </c>
      <c r="N8">
        <v>552</v>
      </c>
      <c r="O8">
        <v>552</v>
      </c>
      <c r="Q8">
        <v>552</v>
      </c>
      <c r="R8">
        <v>552</v>
      </c>
      <c r="S8">
        <v>552</v>
      </c>
      <c r="T8">
        <v>552</v>
      </c>
      <c r="U8">
        <v>552</v>
      </c>
      <c r="W8" t="s">
        <v>37</v>
      </c>
      <c r="X8">
        <v>552</v>
      </c>
      <c r="Y8">
        <v>552</v>
      </c>
      <c r="Z8">
        <v>552</v>
      </c>
      <c r="AA8">
        <v>552</v>
      </c>
      <c r="AB8">
        <v>552</v>
      </c>
      <c r="AD8">
        <v>552</v>
      </c>
      <c r="AE8">
        <v>552</v>
      </c>
      <c r="AF8">
        <v>552</v>
      </c>
      <c r="AG8">
        <v>552</v>
      </c>
      <c r="AH8">
        <v>552</v>
      </c>
    </row>
    <row r="9" spans="1:50" ht="14.45" x14ac:dyDescent="0.35">
      <c r="A9" s="3"/>
      <c r="J9" t="s">
        <v>38</v>
      </c>
      <c r="K9">
        <f>K7+K8</f>
        <v>36106.5</v>
      </c>
      <c r="L9">
        <f t="shared" ref="L9:U9" si="4">L7+L8</f>
        <v>38476.800000000003</v>
      </c>
      <c r="M9">
        <f>M7+M8</f>
        <v>39898.980000000003</v>
      </c>
      <c r="N9">
        <f t="shared" si="4"/>
        <v>40847.100000000006</v>
      </c>
      <c r="O9">
        <f t="shared" si="4"/>
        <v>42269.279999999999</v>
      </c>
      <c r="P9">
        <f t="shared" si="4"/>
        <v>0</v>
      </c>
      <c r="Q9">
        <f t="shared" si="4"/>
        <v>37582.424999999996</v>
      </c>
      <c r="R9">
        <f t="shared" si="4"/>
        <v>40051.120000000003</v>
      </c>
      <c r="S9">
        <f>S7+S8</f>
        <v>41532.337</v>
      </c>
      <c r="T9">
        <f t="shared" si="4"/>
        <v>42519.815000000002</v>
      </c>
      <c r="U9">
        <f t="shared" si="4"/>
        <v>44001.031999999999</v>
      </c>
      <c r="W9" t="s">
        <v>38</v>
      </c>
      <c r="X9">
        <f>X7+X8</f>
        <v>36106.5</v>
      </c>
      <c r="Y9">
        <f t="shared" ref="Y9:AH9" si="5">Y7+Y8</f>
        <v>38476.800000000003</v>
      </c>
      <c r="Z9">
        <f>Z7+Z8</f>
        <v>39898.980000000003</v>
      </c>
      <c r="AA9">
        <f t="shared" si="5"/>
        <v>40847.100000000006</v>
      </c>
      <c r="AB9">
        <f t="shared" si="5"/>
        <v>42269.279999999999</v>
      </c>
      <c r="AC9">
        <f t="shared" si="5"/>
        <v>0</v>
      </c>
      <c r="AD9">
        <f t="shared" si="5"/>
        <v>37582.424999999996</v>
      </c>
      <c r="AE9">
        <f t="shared" si="5"/>
        <v>40051.120000000003</v>
      </c>
      <c r="AF9">
        <f>AF7+AF8</f>
        <v>41532.337</v>
      </c>
      <c r="AG9">
        <f t="shared" si="5"/>
        <v>42519.815000000002</v>
      </c>
      <c r="AH9">
        <f t="shared" si="5"/>
        <v>44001.031999999999</v>
      </c>
    </row>
    <row r="10" spans="1:50" ht="14.45" x14ac:dyDescent="0.35">
      <c r="A10" s="3" t="s">
        <v>2</v>
      </c>
      <c r="B10">
        <v>53641</v>
      </c>
      <c r="C10">
        <v>56927</v>
      </c>
      <c r="D10">
        <v>54819</v>
      </c>
      <c r="E10">
        <v>58123</v>
      </c>
      <c r="F10">
        <v>59770</v>
      </c>
      <c r="J10" t="s">
        <v>57</v>
      </c>
      <c r="W10" t="s">
        <v>57</v>
      </c>
    </row>
    <row r="11" spans="1:50" ht="14.45" x14ac:dyDescent="0.35">
      <c r="A11" s="3" t="s">
        <v>12</v>
      </c>
      <c r="B11">
        <v>25624</v>
      </c>
      <c r="C11">
        <v>24244</v>
      </c>
      <c r="D11">
        <v>26393</v>
      </c>
      <c r="E11">
        <v>22176</v>
      </c>
      <c r="F11">
        <v>17892</v>
      </c>
      <c r="J11" t="s">
        <v>39</v>
      </c>
      <c r="W11" t="s">
        <v>39</v>
      </c>
    </row>
    <row r="12" spans="1:50" ht="14.45" x14ac:dyDescent="0.35">
      <c r="A12" s="3" t="s">
        <v>11</v>
      </c>
      <c r="B12">
        <v>-768</v>
      </c>
      <c r="C12">
        <v>3990</v>
      </c>
      <c r="D12">
        <v>3990</v>
      </c>
      <c r="J12" t="s">
        <v>56</v>
      </c>
      <c r="K12">
        <f>K9/0.712</f>
        <v>50711.376404494382</v>
      </c>
      <c r="L12">
        <f t="shared" ref="L12:O12" si="6">L9/0.712</f>
        <v>54040.449438202253</v>
      </c>
      <c r="M12">
        <f>M9/0.712</f>
        <v>56037.893258426971</v>
      </c>
      <c r="N12">
        <f t="shared" si="6"/>
        <v>57369.522471910124</v>
      </c>
      <c r="O12">
        <f t="shared" si="6"/>
        <v>59366.966292134835</v>
      </c>
      <c r="Q12">
        <f>Q9/0.7086</f>
        <v>53037.574089754438</v>
      </c>
      <c r="R12">
        <f t="shared" ref="R12:U12" si="7">R9/0.7086</f>
        <v>56521.478972622077</v>
      </c>
      <c r="S12">
        <f>S9/0.7086</f>
        <v>58611.821902342643</v>
      </c>
      <c r="T12">
        <f t="shared" si="7"/>
        <v>60005.383855489701</v>
      </c>
      <c r="U12">
        <f t="shared" si="7"/>
        <v>62095.726785210274</v>
      </c>
      <c r="W12" t="s">
        <v>56</v>
      </c>
      <c r="X12">
        <f>X9/0.712</f>
        <v>50711.376404494382</v>
      </c>
      <c r="Y12">
        <f t="shared" ref="Y12:AB12" si="8">Y9/0.712</f>
        <v>54040.449438202253</v>
      </c>
      <c r="Z12">
        <f>Z9/0.712</f>
        <v>56037.893258426971</v>
      </c>
      <c r="AA12">
        <f t="shared" si="8"/>
        <v>57369.522471910124</v>
      </c>
      <c r="AB12">
        <f t="shared" si="8"/>
        <v>59366.966292134835</v>
      </c>
      <c r="AD12">
        <f>AD9/0.7086</f>
        <v>53037.574089754438</v>
      </c>
      <c r="AE12">
        <f t="shared" ref="AE12:AH12" si="9">AE9/0.7086</f>
        <v>56521.478972622077</v>
      </c>
      <c r="AF12">
        <f>AF9/0.7086</f>
        <v>58611.821902342643</v>
      </c>
      <c r="AG12">
        <f t="shared" si="9"/>
        <v>60005.383855489701</v>
      </c>
      <c r="AH12">
        <f t="shared" si="9"/>
        <v>62095.726785210274</v>
      </c>
    </row>
    <row r="13" spans="1:50" ht="14.45" x14ac:dyDescent="0.35">
      <c r="A13" s="3" t="s">
        <v>13</v>
      </c>
      <c r="B13">
        <v>46964</v>
      </c>
      <c r="C13">
        <v>49288</v>
      </c>
      <c r="D13">
        <v>51941</v>
      </c>
      <c r="E13">
        <v>54634</v>
      </c>
      <c r="F13">
        <v>57640</v>
      </c>
      <c r="J13" t="s">
        <v>13</v>
      </c>
      <c r="K13">
        <v>54634</v>
      </c>
      <c r="L13">
        <v>54634</v>
      </c>
      <c r="M13">
        <v>54634</v>
      </c>
      <c r="N13">
        <v>54634</v>
      </c>
      <c r="O13">
        <v>54634</v>
      </c>
      <c r="Q13">
        <v>57640</v>
      </c>
      <c r="R13">
        <v>57640</v>
      </c>
      <c r="S13">
        <v>57640</v>
      </c>
      <c r="T13">
        <v>57640</v>
      </c>
      <c r="U13">
        <v>57640</v>
      </c>
      <c r="W13" t="s">
        <v>13</v>
      </c>
      <c r="X13">
        <v>54634</v>
      </c>
      <c r="Y13">
        <v>54634</v>
      </c>
      <c r="Z13">
        <v>54634</v>
      </c>
      <c r="AA13">
        <v>54634</v>
      </c>
      <c r="AB13">
        <v>54634</v>
      </c>
      <c r="AD13">
        <v>57640</v>
      </c>
      <c r="AE13">
        <v>57640</v>
      </c>
      <c r="AF13">
        <v>57640</v>
      </c>
      <c r="AG13">
        <v>57640</v>
      </c>
      <c r="AH13">
        <v>57640</v>
      </c>
    </row>
    <row r="14" spans="1:50" ht="14.45" x14ac:dyDescent="0.35">
      <c r="A14" s="3" t="s">
        <v>17</v>
      </c>
      <c r="B14" s="4">
        <v>35624</v>
      </c>
      <c r="C14" s="4">
        <v>35791</v>
      </c>
      <c r="D14" s="4">
        <v>35370</v>
      </c>
      <c r="E14" s="4">
        <v>35369</v>
      </c>
      <c r="F14" s="4">
        <v>36668</v>
      </c>
      <c r="G14" s="4"/>
      <c r="H14" s="4"/>
      <c r="J14" s="3" t="s">
        <v>19</v>
      </c>
      <c r="K14">
        <v>35439</v>
      </c>
      <c r="L14">
        <v>35439</v>
      </c>
      <c r="M14">
        <v>35439</v>
      </c>
      <c r="N14">
        <v>35439</v>
      </c>
      <c r="O14">
        <v>35439</v>
      </c>
      <c r="Q14">
        <v>37091</v>
      </c>
      <c r="R14">
        <v>37091</v>
      </c>
      <c r="S14">
        <v>37091</v>
      </c>
      <c r="T14">
        <v>37091</v>
      </c>
      <c r="U14">
        <v>37091</v>
      </c>
      <c r="W14" s="3" t="s">
        <v>67</v>
      </c>
      <c r="X14">
        <f t="shared" ref="X14:AB14" si="10">35439+0.0445*X29</f>
        <v>41065.535499999998</v>
      </c>
      <c r="Y14">
        <f t="shared" si="10"/>
        <v>41065.535499999998</v>
      </c>
      <c r="Z14">
        <f>35439+0.0445*Z29</f>
        <v>41065.535499999998</v>
      </c>
      <c r="AA14">
        <f t="shared" si="10"/>
        <v>41065.535499999998</v>
      </c>
      <c r="AB14">
        <f t="shared" si="10"/>
        <v>41065.535499999998</v>
      </c>
      <c r="AD14">
        <f t="shared" ref="AD14:AH14" si="11">37091+0.0445*AD29</f>
        <v>42972.453750000001</v>
      </c>
      <c r="AE14">
        <f t="shared" si="11"/>
        <v>42972.453750000001</v>
      </c>
      <c r="AF14">
        <f>37091+0.0445*AF29</f>
        <v>42972.453750000001</v>
      </c>
      <c r="AG14">
        <f t="shared" si="11"/>
        <v>42972.453750000001</v>
      </c>
      <c r="AH14">
        <f t="shared" si="11"/>
        <v>42972.453750000001</v>
      </c>
      <c r="AI14" s="3"/>
    </row>
    <row r="15" spans="1:50" ht="14.45" x14ac:dyDescent="0.35">
      <c r="B15" s="4">
        <f>SUM(B10:B14)</f>
        <v>161085</v>
      </c>
      <c r="C15" s="4">
        <f t="shared" ref="C15:F15" si="12">SUM(C10:C14)</f>
        <v>170240</v>
      </c>
      <c r="D15" s="4">
        <f t="shared" si="12"/>
        <v>172513</v>
      </c>
      <c r="E15" s="4">
        <f t="shared" si="12"/>
        <v>170302</v>
      </c>
      <c r="F15" s="4">
        <f t="shared" si="12"/>
        <v>171970</v>
      </c>
      <c r="G15" s="4"/>
      <c r="H15" s="4"/>
      <c r="J15" s="3" t="s">
        <v>20</v>
      </c>
      <c r="K15">
        <v>757</v>
      </c>
      <c r="L15">
        <v>757</v>
      </c>
      <c r="M15">
        <v>757</v>
      </c>
      <c r="N15">
        <v>757</v>
      </c>
      <c r="O15">
        <v>757</v>
      </c>
      <c r="Q15">
        <v>429</v>
      </c>
      <c r="R15">
        <v>429</v>
      </c>
      <c r="S15">
        <v>429</v>
      </c>
      <c r="T15">
        <v>429</v>
      </c>
      <c r="U15">
        <v>429</v>
      </c>
      <c r="W15" s="3" t="s">
        <v>20</v>
      </c>
      <c r="X15">
        <v>757</v>
      </c>
      <c r="Y15">
        <v>757</v>
      </c>
      <c r="Z15">
        <v>757</v>
      </c>
      <c r="AA15">
        <v>757</v>
      </c>
      <c r="AB15">
        <v>757</v>
      </c>
      <c r="AD15">
        <v>429</v>
      </c>
      <c r="AE15">
        <v>429</v>
      </c>
      <c r="AF15">
        <v>429</v>
      </c>
      <c r="AG15">
        <v>429</v>
      </c>
      <c r="AH15">
        <v>429</v>
      </c>
      <c r="AI15" s="3"/>
    </row>
    <row r="16" spans="1:50" ht="14.45" x14ac:dyDescent="0.35">
      <c r="A16" s="2" t="s">
        <v>3</v>
      </c>
      <c r="B16">
        <f>B7+B8-B15</f>
        <v>53422</v>
      </c>
      <c r="C16">
        <f t="shared" ref="C16:F16" si="13">C7+C8-C15</f>
        <v>56030</v>
      </c>
      <c r="D16">
        <f t="shared" si="13"/>
        <v>56531</v>
      </c>
      <c r="E16">
        <f t="shared" si="13"/>
        <v>53790</v>
      </c>
      <c r="F16">
        <f t="shared" si="13"/>
        <v>51102</v>
      </c>
    </row>
    <row r="17" spans="1:50" ht="14.45" x14ac:dyDescent="0.35">
      <c r="A17" t="s">
        <v>15</v>
      </c>
      <c r="B17" s="4">
        <v>14866</v>
      </c>
      <c r="C17" s="4">
        <v>16201</v>
      </c>
      <c r="D17">
        <v>16210</v>
      </c>
      <c r="E17" s="4">
        <v>15486</v>
      </c>
      <c r="F17" s="4">
        <v>14889</v>
      </c>
      <c r="G17" s="4"/>
      <c r="H17" s="4"/>
      <c r="J17" t="s">
        <v>41</v>
      </c>
      <c r="K17">
        <f>K12+K14+K15</f>
        <v>86907.376404494382</v>
      </c>
      <c r="L17">
        <f t="shared" ref="L17:O17" si="14">L12+L14+L15</f>
        <v>90236.449438202253</v>
      </c>
      <c r="M17">
        <f>M12+M14+M15</f>
        <v>92233.893258426979</v>
      </c>
      <c r="N17">
        <f t="shared" si="14"/>
        <v>93565.522471910124</v>
      </c>
      <c r="O17">
        <f t="shared" si="14"/>
        <v>95562.966292134835</v>
      </c>
      <c r="Q17">
        <f>Q12+Q14+Q15</f>
        <v>90557.574089754431</v>
      </c>
      <c r="R17">
        <f t="shared" ref="R17:U17" si="15">R12+R14+R15</f>
        <v>94041.478972622077</v>
      </c>
      <c r="S17">
        <f>S12+S14+S15</f>
        <v>96131.821902342635</v>
      </c>
      <c r="T17">
        <f t="shared" si="15"/>
        <v>97525.383855489694</v>
      </c>
      <c r="U17">
        <f t="shared" si="15"/>
        <v>99615.726785210281</v>
      </c>
      <c r="W17" t="s">
        <v>41</v>
      </c>
      <c r="X17">
        <f>X12+X14+X15</f>
        <v>92533.91190449438</v>
      </c>
      <c r="Y17">
        <f t="shared" ref="Y17:AB17" si="16">Y12+Y14+Y15</f>
        <v>95862.984938202251</v>
      </c>
      <c r="Z17">
        <f>Z12+Z14+Z15</f>
        <v>97860.428758426977</v>
      </c>
      <c r="AA17">
        <f t="shared" si="16"/>
        <v>99192.057971910122</v>
      </c>
      <c r="AB17">
        <f t="shared" si="16"/>
        <v>101189.50179213483</v>
      </c>
      <c r="AD17">
        <f>AD12+AD14+AD15</f>
        <v>96439.027839754446</v>
      </c>
      <c r="AE17">
        <f t="shared" ref="AE17:AH17" si="17">AE12+AE14+AE15</f>
        <v>99922.932722622078</v>
      </c>
      <c r="AF17">
        <f>AF12+AF14+AF15</f>
        <v>102013.27565234265</v>
      </c>
      <c r="AG17">
        <f t="shared" si="17"/>
        <v>103406.83760548971</v>
      </c>
      <c r="AH17">
        <f t="shared" si="17"/>
        <v>105497.18053521027</v>
      </c>
    </row>
    <row r="18" spans="1:50" ht="14.45" x14ac:dyDescent="0.35">
      <c r="A18" s="2" t="s">
        <v>4</v>
      </c>
      <c r="B18">
        <f>B16-B17</f>
        <v>38556</v>
      </c>
      <c r="C18">
        <f t="shared" ref="C18:F18" si="18">C16-C17</f>
        <v>39829</v>
      </c>
      <c r="D18">
        <f t="shared" si="18"/>
        <v>40321</v>
      </c>
      <c r="E18">
        <f t="shared" si="18"/>
        <v>38304</v>
      </c>
      <c r="F18">
        <f t="shared" si="18"/>
        <v>36213</v>
      </c>
      <c r="J18" t="s">
        <v>58</v>
      </c>
      <c r="K18">
        <f>K17+K13</f>
        <v>141541.3764044944</v>
      </c>
      <c r="L18">
        <f t="shared" ref="L18:O18" si="19">L17+L13</f>
        <v>144870.44943820225</v>
      </c>
      <c r="M18">
        <f>M17+M13</f>
        <v>146867.89325842698</v>
      </c>
      <c r="N18">
        <f t="shared" si="19"/>
        <v>148199.52247191011</v>
      </c>
      <c r="O18">
        <f t="shared" si="19"/>
        <v>150196.96629213484</v>
      </c>
      <c r="Q18">
        <f>Q17+Q13</f>
        <v>148197.57408975443</v>
      </c>
      <c r="R18">
        <f t="shared" ref="R18" si="20">R17+R13</f>
        <v>151681.47897262208</v>
      </c>
      <c r="S18">
        <f t="shared" ref="S18" si="21">S17+S13</f>
        <v>153771.82190234264</v>
      </c>
      <c r="T18">
        <f t="shared" ref="T18" si="22">T17+T13</f>
        <v>155165.38385548969</v>
      </c>
      <c r="U18">
        <f t="shared" ref="U18" si="23">U17+U13</f>
        <v>157255.72678521028</v>
      </c>
      <c r="W18" t="s">
        <v>58</v>
      </c>
      <c r="X18">
        <f>X17+X13</f>
        <v>147167.91190449439</v>
      </c>
      <c r="Y18">
        <f t="shared" ref="Y18:AB18" si="24">Y17+Y13</f>
        <v>150496.98493820225</v>
      </c>
      <c r="Z18">
        <f>Z17+Z13</f>
        <v>152494.42875842698</v>
      </c>
      <c r="AA18">
        <f t="shared" si="24"/>
        <v>153826.05797191011</v>
      </c>
      <c r="AB18">
        <f t="shared" si="24"/>
        <v>155823.50179213483</v>
      </c>
      <c r="AD18">
        <f>AD17+AD13</f>
        <v>154079.02783975445</v>
      </c>
      <c r="AE18">
        <f t="shared" ref="AE18:AH18" si="25">AE17+AE13</f>
        <v>157562.93272262206</v>
      </c>
      <c r="AF18">
        <f>AF17+AF13</f>
        <v>159653.27565234265</v>
      </c>
      <c r="AG18">
        <f t="shared" si="25"/>
        <v>161046.83760548971</v>
      </c>
      <c r="AH18">
        <f t="shared" si="25"/>
        <v>163137.18053521027</v>
      </c>
    </row>
    <row r="19" spans="1:50" ht="14.45" x14ac:dyDescent="0.35">
      <c r="A19" t="s">
        <v>5</v>
      </c>
      <c r="B19">
        <v>563</v>
      </c>
      <c r="C19">
        <v>557</v>
      </c>
      <c r="D19">
        <v>552</v>
      </c>
      <c r="E19">
        <v>552</v>
      </c>
      <c r="F19">
        <v>552</v>
      </c>
      <c r="J19" t="s">
        <v>40</v>
      </c>
      <c r="W19" t="s">
        <v>40</v>
      </c>
    </row>
    <row r="20" spans="1:50" ht="14.45" x14ac:dyDescent="0.35">
      <c r="A20" s="2" t="s">
        <v>6</v>
      </c>
      <c r="B20">
        <f>B18-B19</f>
        <v>37993</v>
      </c>
      <c r="C20">
        <f t="shared" ref="C20:F20" si="26">C18-C19</f>
        <v>39272</v>
      </c>
      <c r="D20">
        <f t="shared" si="26"/>
        <v>39769</v>
      </c>
      <c r="E20">
        <f t="shared" si="26"/>
        <v>37752</v>
      </c>
      <c r="F20">
        <f t="shared" si="26"/>
        <v>35661</v>
      </c>
      <c r="J20" t="s">
        <v>59</v>
      </c>
      <c r="K20">
        <f>(104797-36181)+K9</f>
        <v>104722.5</v>
      </c>
      <c r="L20">
        <f t="shared" ref="L20:O20" si="27">(104797-36181)+L9</f>
        <v>107092.8</v>
      </c>
      <c r="M20">
        <f>(104797-36181)+M9</f>
        <v>108514.98000000001</v>
      </c>
      <c r="N20">
        <f t="shared" si="27"/>
        <v>109463.1</v>
      </c>
      <c r="O20">
        <f t="shared" si="27"/>
        <v>110885.28</v>
      </c>
      <c r="Q20">
        <f>(104486-33921)+Q9</f>
        <v>108147.42499999999</v>
      </c>
      <c r="R20">
        <f t="shared" ref="R20:U20" si="28">(104486-33921)+R9</f>
        <v>110616.12</v>
      </c>
      <c r="S20">
        <f>(104486-33921)+S9</f>
        <v>112097.337</v>
      </c>
      <c r="T20">
        <f t="shared" si="28"/>
        <v>113084.815</v>
      </c>
      <c r="U20">
        <f t="shared" si="28"/>
        <v>114566.03200000001</v>
      </c>
      <c r="W20" t="s">
        <v>59</v>
      </c>
      <c r="X20">
        <f>(104797-36181)+X9</f>
        <v>104722.5</v>
      </c>
      <c r="Y20">
        <f t="shared" ref="Y20:AB20" si="29">(104797-36181)+Y9</f>
        <v>107092.8</v>
      </c>
      <c r="Z20">
        <f>(104797-36181)+Z9</f>
        <v>108514.98000000001</v>
      </c>
      <c r="AA20">
        <f t="shared" si="29"/>
        <v>109463.1</v>
      </c>
      <c r="AB20">
        <f t="shared" si="29"/>
        <v>110885.28</v>
      </c>
      <c r="AD20">
        <f>(104486-33921)+AD9</f>
        <v>108147.42499999999</v>
      </c>
      <c r="AE20">
        <f t="shared" ref="AE20:AH20" si="30">(104486-33921)+AE9</f>
        <v>110616.12</v>
      </c>
      <c r="AF20">
        <f>(104486-33921)+AF9</f>
        <v>112097.337</v>
      </c>
      <c r="AG20">
        <f t="shared" si="30"/>
        <v>113084.815</v>
      </c>
      <c r="AH20">
        <f t="shared" si="30"/>
        <v>114566.03200000001</v>
      </c>
    </row>
    <row r="21" spans="1:50" ht="14.45" x14ac:dyDescent="0.35">
      <c r="A21" s="2"/>
    </row>
    <row r="22" spans="1:50" ht="14.45" x14ac:dyDescent="0.35">
      <c r="A22" s="2" t="s">
        <v>18</v>
      </c>
      <c r="J22" s="3" t="s">
        <v>26</v>
      </c>
      <c r="K22">
        <v>575703</v>
      </c>
      <c r="L22">
        <v>575703</v>
      </c>
      <c r="M22">
        <v>575703</v>
      </c>
      <c r="N22">
        <v>575703</v>
      </c>
      <c r="O22">
        <v>575703</v>
      </c>
      <c r="Q22">
        <v>599493</v>
      </c>
      <c r="R22">
        <v>599493</v>
      </c>
      <c r="S22">
        <v>599493</v>
      </c>
      <c r="T22">
        <v>599493</v>
      </c>
      <c r="U22">
        <v>599493</v>
      </c>
      <c r="W22" s="3" t="s">
        <v>65</v>
      </c>
      <c r="X22">
        <f>X28-X23-X24</f>
        <v>702142</v>
      </c>
      <c r="Y22">
        <f t="shared" ref="Y22:AH22" si="31">Y28-Y23-Y24</f>
        <v>702142</v>
      </c>
      <c r="Z22">
        <f>Z28-Z23-Z24</f>
        <v>702142</v>
      </c>
      <c r="AA22">
        <f t="shared" si="31"/>
        <v>702142</v>
      </c>
      <c r="AB22">
        <f t="shared" si="31"/>
        <v>702142</v>
      </c>
      <c r="AD22">
        <f t="shared" si="31"/>
        <v>731660.5</v>
      </c>
      <c r="AE22">
        <f t="shared" si="31"/>
        <v>731660.5</v>
      </c>
      <c r="AF22">
        <f>AF28-AF23-AF24</f>
        <v>731660.5</v>
      </c>
      <c r="AG22">
        <f t="shared" si="31"/>
        <v>731660.5</v>
      </c>
      <c r="AH22">
        <f t="shared" si="31"/>
        <v>731660.5</v>
      </c>
      <c r="AI22" s="3"/>
    </row>
    <row r="23" spans="1:50" ht="14.45" x14ac:dyDescent="0.35">
      <c r="A23" s="3" t="s">
        <v>19</v>
      </c>
      <c r="B23">
        <v>35123</v>
      </c>
      <c r="C23">
        <v>36327</v>
      </c>
      <c r="D23">
        <v>35027</v>
      </c>
      <c r="E23">
        <v>35439</v>
      </c>
      <c r="F23">
        <v>37091</v>
      </c>
      <c r="J23" s="3" t="s">
        <v>30</v>
      </c>
      <c r="K23">
        <v>474060</v>
      </c>
      <c r="L23">
        <v>474060</v>
      </c>
      <c r="M23">
        <v>474060</v>
      </c>
      <c r="N23">
        <v>474060</v>
      </c>
      <c r="O23">
        <v>474060</v>
      </c>
      <c r="Q23">
        <v>493739</v>
      </c>
      <c r="R23">
        <v>493739</v>
      </c>
      <c r="S23">
        <v>493739</v>
      </c>
      <c r="T23">
        <v>493739</v>
      </c>
      <c r="U23">
        <v>493739</v>
      </c>
      <c r="W23" s="3" t="s">
        <v>30</v>
      </c>
      <c r="X23">
        <v>474060</v>
      </c>
      <c r="Y23">
        <v>474060</v>
      </c>
      <c r="Z23">
        <v>474060</v>
      </c>
      <c r="AA23">
        <v>474060</v>
      </c>
      <c r="AB23">
        <v>474060</v>
      </c>
      <c r="AD23">
        <v>493739</v>
      </c>
      <c r="AE23">
        <v>493739</v>
      </c>
      <c r="AF23">
        <v>493739</v>
      </c>
      <c r="AG23">
        <v>493739</v>
      </c>
      <c r="AH23">
        <v>493739</v>
      </c>
      <c r="AI23" s="3"/>
    </row>
    <row r="24" spans="1:50" ht="14.45" x14ac:dyDescent="0.35">
      <c r="A24" s="3" t="s">
        <v>20</v>
      </c>
      <c r="B24">
        <v>1075</v>
      </c>
      <c r="C24">
        <v>626</v>
      </c>
      <c r="D24">
        <v>1051</v>
      </c>
      <c r="E24">
        <v>757</v>
      </c>
      <c r="F24">
        <v>429</v>
      </c>
      <c r="J24" s="3" t="s">
        <v>31</v>
      </c>
      <c r="K24">
        <v>8948</v>
      </c>
      <c r="L24">
        <v>8948</v>
      </c>
      <c r="M24">
        <v>8948</v>
      </c>
      <c r="N24">
        <v>8948</v>
      </c>
      <c r="O24">
        <v>8948</v>
      </c>
      <c r="Q24">
        <v>8948</v>
      </c>
      <c r="R24">
        <v>8948</v>
      </c>
      <c r="S24">
        <v>8948</v>
      </c>
      <c r="T24">
        <v>8948</v>
      </c>
      <c r="U24">
        <v>8948</v>
      </c>
      <c r="W24" s="3" t="s">
        <v>31</v>
      </c>
      <c r="X24">
        <v>8948</v>
      </c>
      <c r="Y24">
        <v>8948</v>
      </c>
      <c r="Z24">
        <v>8948</v>
      </c>
      <c r="AA24">
        <v>8948</v>
      </c>
      <c r="AB24">
        <v>8948</v>
      </c>
      <c r="AD24">
        <v>8948</v>
      </c>
      <c r="AE24">
        <v>8948</v>
      </c>
      <c r="AF24">
        <v>8948</v>
      </c>
      <c r="AG24">
        <v>8948</v>
      </c>
      <c r="AH24">
        <v>8948</v>
      </c>
      <c r="AI24" s="3"/>
    </row>
    <row r="25" spans="1:50" ht="14.45" x14ac:dyDescent="0.35">
      <c r="A25" s="3" t="s">
        <v>21</v>
      </c>
      <c r="B25">
        <v>302</v>
      </c>
      <c r="C25">
        <v>254</v>
      </c>
      <c r="D25">
        <v>245</v>
      </c>
      <c r="E25">
        <v>220</v>
      </c>
      <c r="F25">
        <v>213</v>
      </c>
      <c r="J25" t="s">
        <v>45</v>
      </c>
      <c r="K25">
        <v>4984</v>
      </c>
      <c r="L25">
        <v>4984</v>
      </c>
      <c r="M25">
        <v>4984</v>
      </c>
      <c r="N25">
        <v>4984</v>
      </c>
      <c r="O25">
        <v>4984</v>
      </c>
      <c r="Q25">
        <v>4984</v>
      </c>
      <c r="R25">
        <v>4984</v>
      </c>
      <c r="S25">
        <v>4984</v>
      </c>
      <c r="T25">
        <v>4984</v>
      </c>
      <c r="U25">
        <v>4984</v>
      </c>
      <c r="W25" t="s">
        <v>45</v>
      </c>
      <c r="X25">
        <v>4984</v>
      </c>
      <c r="Y25">
        <v>4984</v>
      </c>
      <c r="Z25">
        <v>4984</v>
      </c>
      <c r="AA25">
        <v>4984</v>
      </c>
      <c r="AB25">
        <v>4984</v>
      </c>
      <c r="AD25">
        <v>4984</v>
      </c>
      <c r="AE25">
        <v>4984</v>
      </c>
      <c r="AF25">
        <v>4984</v>
      </c>
      <c r="AG25">
        <v>4984</v>
      </c>
      <c r="AH25">
        <v>4984</v>
      </c>
    </row>
    <row r="26" spans="1:50" ht="14.45" x14ac:dyDescent="0.35">
      <c r="A26" s="3" t="s">
        <v>23</v>
      </c>
      <c r="B26" s="3">
        <v>-891</v>
      </c>
      <c r="C26" s="3">
        <v>-1435</v>
      </c>
      <c r="D26" s="3">
        <v>-974</v>
      </c>
      <c r="E26" s="3">
        <v>-1071</v>
      </c>
      <c r="F26" s="3">
        <v>-1089</v>
      </c>
      <c r="G26" s="3"/>
      <c r="H26" s="3"/>
      <c r="J26" t="s">
        <v>46</v>
      </c>
      <c r="K26">
        <v>18576</v>
      </c>
      <c r="L26">
        <v>18576</v>
      </c>
      <c r="M26">
        <v>18576</v>
      </c>
      <c r="N26">
        <v>18576</v>
      </c>
      <c r="O26">
        <v>18576</v>
      </c>
      <c r="Q26">
        <v>11559</v>
      </c>
      <c r="R26">
        <v>11559</v>
      </c>
      <c r="S26">
        <v>11559</v>
      </c>
      <c r="T26">
        <v>11559</v>
      </c>
      <c r="U26">
        <v>11559</v>
      </c>
      <c r="W26" t="s">
        <v>46</v>
      </c>
      <c r="X26">
        <v>18576</v>
      </c>
      <c r="Y26">
        <v>18576</v>
      </c>
      <c r="Z26">
        <v>18576</v>
      </c>
      <c r="AA26">
        <v>18576</v>
      </c>
      <c r="AB26">
        <v>18576</v>
      </c>
      <c r="AD26">
        <v>11559</v>
      </c>
      <c r="AE26">
        <v>11559</v>
      </c>
      <c r="AF26">
        <v>11559</v>
      </c>
      <c r="AG26">
        <v>11559</v>
      </c>
      <c r="AH26">
        <v>11559</v>
      </c>
    </row>
    <row r="27" spans="1:50" ht="14.45" x14ac:dyDescent="0.35">
      <c r="A27" s="2" t="s">
        <v>22</v>
      </c>
      <c r="B27">
        <f>SUM(B23:B26)</f>
        <v>35609</v>
      </c>
      <c r="C27">
        <f t="shared" ref="C27:F27" si="32">SUM(C23:C26)</f>
        <v>35772</v>
      </c>
      <c r="D27">
        <f t="shared" si="32"/>
        <v>35349</v>
      </c>
      <c r="E27">
        <f t="shared" si="32"/>
        <v>35345</v>
      </c>
      <c r="F27">
        <f t="shared" si="32"/>
        <v>36644</v>
      </c>
      <c r="J27" t="s">
        <v>5</v>
      </c>
      <c r="K27">
        <v>552</v>
      </c>
      <c r="L27">
        <v>552</v>
      </c>
      <c r="M27">
        <v>552</v>
      </c>
      <c r="N27">
        <v>552</v>
      </c>
      <c r="O27">
        <v>552</v>
      </c>
      <c r="Q27">
        <v>552</v>
      </c>
      <c r="R27">
        <v>552</v>
      </c>
      <c r="S27">
        <v>552</v>
      </c>
      <c r="T27">
        <v>552</v>
      </c>
      <c r="U27">
        <v>552</v>
      </c>
      <c r="W27" t="s">
        <v>5</v>
      </c>
      <c r="X27">
        <v>552</v>
      </c>
      <c r="Y27">
        <v>552</v>
      </c>
      <c r="Z27">
        <v>552</v>
      </c>
      <c r="AA27">
        <v>552</v>
      </c>
      <c r="AB27">
        <v>552</v>
      </c>
      <c r="AD27">
        <v>552</v>
      </c>
      <c r="AE27">
        <v>552</v>
      </c>
      <c r="AF27">
        <v>552</v>
      </c>
      <c r="AG27">
        <v>552</v>
      </c>
      <c r="AH27">
        <v>552</v>
      </c>
    </row>
    <row r="28" spans="1:50" ht="14.45" x14ac:dyDescent="0.35">
      <c r="A28" s="2" t="s">
        <v>72</v>
      </c>
      <c r="W28" t="s">
        <v>66</v>
      </c>
      <c r="X28">
        <f>X23/0.4</f>
        <v>1185150</v>
      </c>
      <c r="Y28">
        <f t="shared" ref="Y28:AH28" si="33">Y23/0.4</f>
        <v>1185150</v>
      </c>
      <c r="Z28">
        <f>Z23/0.4</f>
        <v>1185150</v>
      </c>
      <c r="AA28">
        <f t="shared" si="33"/>
        <v>1185150</v>
      </c>
      <c r="AB28">
        <f t="shared" si="33"/>
        <v>1185150</v>
      </c>
      <c r="AD28">
        <f t="shared" si="33"/>
        <v>1234347.5</v>
      </c>
      <c r="AE28">
        <f t="shared" si="33"/>
        <v>1234347.5</v>
      </c>
      <c r="AF28">
        <f>AF23/0.4</f>
        <v>1234347.5</v>
      </c>
      <c r="AG28">
        <f t="shared" si="33"/>
        <v>1234347.5</v>
      </c>
      <c r="AH28">
        <f t="shared" si="33"/>
        <v>1234347.5</v>
      </c>
    </row>
    <row r="29" spans="1:50" ht="14.45" x14ac:dyDescent="0.35">
      <c r="J29" s="2" t="s">
        <v>34</v>
      </c>
      <c r="K29" t="s">
        <v>32</v>
      </c>
      <c r="L29" t="s">
        <v>32</v>
      </c>
      <c r="M29" t="s">
        <v>32</v>
      </c>
      <c r="N29" t="s">
        <v>32</v>
      </c>
      <c r="O29" t="s">
        <v>32</v>
      </c>
      <c r="Q29" t="s">
        <v>32</v>
      </c>
      <c r="R29" t="s">
        <v>32</v>
      </c>
      <c r="S29" t="s">
        <v>32</v>
      </c>
      <c r="T29" t="s">
        <v>32</v>
      </c>
      <c r="U29" t="s">
        <v>32</v>
      </c>
      <c r="W29" t="s">
        <v>68</v>
      </c>
      <c r="X29">
        <f>X22-K22</f>
        <v>126439</v>
      </c>
      <c r="Y29">
        <f>Y22-L22</f>
        <v>126439</v>
      </c>
      <c r="Z29">
        <f>Z22-M22</f>
        <v>126439</v>
      </c>
      <c r="AA29">
        <f>AA22-N22</f>
        <v>126439</v>
      </c>
      <c r="AB29">
        <f>AB22-O22</f>
        <v>126439</v>
      </c>
      <c r="AD29">
        <f>AD22-Q22</f>
        <v>132167.5</v>
      </c>
      <c r="AE29">
        <f>AE22-R22</f>
        <v>132167.5</v>
      </c>
      <c r="AF29">
        <f>AF22-S22</f>
        <v>132167.5</v>
      </c>
      <c r="AG29">
        <f>AG22-T22</f>
        <v>132167.5</v>
      </c>
      <c r="AH29">
        <f>AH22-U22</f>
        <v>132167.5</v>
      </c>
    </row>
    <row r="30" spans="1:50" ht="14.45" x14ac:dyDescent="0.35">
      <c r="A30" s="2"/>
      <c r="J30" t="s">
        <v>60</v>
      </c>
      <c r="K30" s="6">
        <v>7.4999999999999997E-2</v>
      </c>
      <c r="L30" s="6">
        <v>0.08</v>
      </c>
      <c r="M30" s="6">
        <v>8.3000000000000004E-2</v>
      </c>
      <c r="N30" s="6">
        <v>8.5000000000000006E-2</v>
      </c>
      <c r="O30" s="6">
        <v>8.7999999999999995E-2</v>
      </c>
      <c r="Q30" s="6">
        <v>7.4999999999999997E-2</v>
      </c>
      <c r="R30" s="6">
        <v>0.08</v>
      </c>
      <c r="S30" s="6">
        <v>8.3000000000000004E-2</v>
      </c>
      <c r="T30" s="6">
        <v>8.5000000000000006E-2</v>
      </c>
      <c r="U30" s="6">
        <v>8.7999999999999995E-2</v>
      </c>
      <c r="V30" s="6"/>
      <c r="W30" t="s">
        <v>60</v>
      </c>
      <c r="X30" s="2" t="s">
        <v>70</v>
      </c>
      <c r="AJ30" s="2"/>
    </row>
    <row r="31" spans="1:50" ht="14.45" x14ac:dyDescent="0.35">
      <c r="A31" s="2" t="s">
        <v>25</v>
      </c>
      <c r="B31">
        <v>94538</v>
      </c>
      <c r="C31">
        <v>97908</v>
      </c>
      <c r="D31">
        <v>100108</v>
      </c>
      <c r="E31">
        <v>104797</v>
      </c>
      <c r="F31">
        <v>104486</v>
      </c>
      <c r="J31" s="2" t="s">
        <v>48</v>
      </c>
      <c r="K31" s="5" t="s">
        <v>8</v>
      </c>
      <c r="L31" s="5" t="s">
        <v>8</v>
      </c>
      <c r="M31" s="5" t="s">
        <v>8</v>
      </c>
      <c r="N31" s="5" t="s">
        <v>8</v>
      </c>
      <c r="O31" s="5" t="s">
        <v>8</v>
      </c>
      <c r="Q31" s="5" t="s">
        <v>8</v>
      </c>
      <c r="R31" s="5" t="s">
        <v>8</v>
      </c>
      <c r="S31" s="5" t="s">
        <v>8</v>
      </c>
      <c r="T31" s="5" t="s">
        <v>8</v>
      </c>
      <c r="U31" s="5" t="s">
        <v>8</v>
      </c>
      <c r="V31" s="5"/>
      <c r="W31" s="2" t="s">
        <v>48</v>
      </c>
      <c r="AI31" s="2"/>
    </row>
    <row r="32" spans="1:50" ht="14.45" x14ac:dyDescent="0.35">
      <c r="A32" s="2" t="s">
        <v>55</v>
      </c>
      <c r="B32">
        <v>90784</v>
      </c>
      <c r="C32">
        <v>102600</v>
      </c>
      <c r="D32">
        <v>99678</v>
      </c>
      <c r="E32">
        <v>105894</v>
      </c>
      <c r="F32">
        <v>105365</v>
      </c>
      <c r="J32" t="s">
        <v>61</v>
      </c>
      <c r="K32" s="7">
        <f>(K20+K14+K15)/(K14+K15)</f>
        <v>3.8932064316499062</v>
      </c>
      <c r="L32" s="7">
        <f t="shared" ref="L32:O32" si="34">(L20+L14+L15)/(L14+L15)</f>
        <v>3.9586915681290749</v>
      </c>
      <c r="M32" s="7">
        <f>(M20+M14+M15)/(M14+M15)</f>
        <v>3.9979826500165765</v>
      </c>
      <c r="N32" s="7">
        <f t="shared" si="34"/>
        <v>4.0241767046082444</v>
      </c>
      <c r="O32" s="7">
        <f t="shared" si="34"/>
        <v>4.0634677864957451</v>
      </c>
      <c r="Q32" s="7">
        <f>(Q20+Q14+Q15)/(Q14+Q15)</f>
        <v>3.8823940565031978</v>
      </c>
      <c r="R32" s="7">
        <f t="shared" ref="R32:U32" si="35">(R20+R14+R15)/(R14+R15)</f>
        <v>3.9481908315565031</v>
      </c>
      <c r="S32" s="7">
        <f>(S20+S14+S15)/(S14+S15)</f>
        <v>3.9876688965884863</v>
      </c>
      <c r="T32" s="7">
        <f t="shared" si="35"/>
        <v>4.0139876066098079</v>
      </c>
      <c r="U32" s="7">
        <f t="shared" si="35"/>
        <v>4.0534656716417912</v>
      </c>
      <c r="V32" s="7"/>
      <c r="W32" t="s">
        <v>61</v>
      </c>
      <c r="X32" s="7">
        <f>(X20+X14+X15)/(X14+X15)</f>
        <v>3.5039730075666982</v>
      </c>
      <c r="Y32" s="7">
        <f t="shared" ref="Y32:AB32" si="36">(Y20+Y14+Y15)/(Y14+Y15)</f>
        <v>3.5606481940818724</v>
      </c>
      <c r="Z32" s="7">
        <f>(Z20+Z14+Z15)/(Z14+Z15)</f>
        <v>3.5946533059909775</v>
      </c>
      <c r="AA32" s="7">
        <f t="shared" si="36"/>
        <v>3.6173233805970471</v>
      </c>
      <c r="AB32" s="7">
        <f t="shared" si="36"/>
        <v>3.6513284925061513</v>
      </c>
      <c r="AD32" s="7">
        <f>(AD20+AD14+AD15)/(AD14+AD15)</f>
        <v>3.49179268563095</v>
      </c>
      <c r="AE32" s="7">
        <f t="shared" ref="AE32:AH32" si="37">(AE20+AE14+AE15)/(AE14+AE15)</f>
        <v>3.5486731536037541</v>
      </c>
      <c r="AF32" s="7">
        <f>(AF20+AF14+AF15)/(AF14+AF15)</f>
        <v>3.5828014343874366</v>
      </c>
      <c r="AG32" s="7">
        <f t="shared" si="37"/>
        <v>3.6055536215765582</v>
      </c>
      <c r="AH32" s="7">
        <f t="shared" si="37"/>
        <v>3.6396819023602403</v>
      </c>
      <c r="AJ32" s="7"/>
      <c r="AK32" s="7"/>
      <c r="AL32" s="7"/>
      <c r="AM32" s="7"/>
      <c r="AN32" s="7"/>
      <c r="AO32" s="7"/>
      <c r="AP32" s="7"/>
      <c r="AR32" s="7"/>
      <c r="AS32" s="7"/>
      <c r="AT32" s="7"/>
      <c r="AU32" s="7"/>
      <c r="AV32" s="7"/>
      <c r="AW32" s="7"/>
      <c r="AX32" s="7"/>
    </row>
    <row r="33" spans="1:50" x14ac:dyDescent="0.25">
      <c r="A33" s="2" t="s">
        <v>26</v>
      </c>
      <c r="B33">
        <v>504185</v>
      </c>
      <c r="C33">
        <v>532234</v>
      </c>
      <c r="D33">
        <v>555979</v>
      </c>
      <c r="E33">
        <v>575703</v>
      </c>
      <c r="F33">
        <v>599493</v>
      </c>
      <c r="J33" t="s">
        <v>62</v>
      </c>
      <c r="K33" s="6">
        <f>K20/K22</f>
        <v>0.1819036899234501</v>
      </c>
      <c r="L33" s="6">
        <f t="shared" ref="L33:O33" si="38">L20/L22</f>
        <v>0.18602091703534634</v>
      </c>
      <c r="M33" s="6">
        <f>M20/M22</f>
        <v>0.18849125330248412</v>
      </c>
      <c r="N33" s="6">
        <f t="shared" si="38"/>
        <v>0.19013814414724259</v>
      </c>
      <c r="O33" s="6">
        <f t="shared" si="38"/>
        <v>0.19260848041438033</v>
      </c>
      <c r="P33" s="6"/>
      <c r="Q33" s="6">
        <f>Q20/Q22</f>
        <v>0.1803981447656603</v>
      </c>
      <c r="R33" s="6">
        <f t="shared" ref="R33:U33" si="39">R20/R22</f>
        <v>0.1845161161181198</v>
      </c>
      <c r="S33" s="6">
        <f>S20/S22</f>
        <v>0.1869868989295955</v>
      </c>
      <c r="T33" s="6">
        <f t="shared" si="39"/>
        <v>0.1886340874705793</v>
      </c>
      <c r="U33" s="6">
        <f t="shared" si="39"/>
        <v>0.191104870282055</v>
      </c>
      <c r="V33" s="7"/>
      <c r="W33" t="s">
        <v>62</v>
      </c>
      <c r="X33" s="6">
        <f>X20/X22</f>
        <v>0.14914718105454453</v>
      </c>
      <c r="Y33" s="6">
        <f t="shared" ref="Y33:AB33" si="40">Y20/Y22</f>
        <v>0.15252299392430591</v>
      </c>
      <c r="Z33" s="6">
        <f>Z20/Z22</f>
        <v>0.15454848164616275</v>
      </c>
      <c r="AA33" s="6">
        <f t="shared" si="40"/>
        <v>0.15589880679406731</v>
      </c>
      <c r="AB33" s="6">
        <f t="shared" si="40"/>
        <v>0.15792429451592413</v>
      </c>
      <c r="AC33" s="6"/>
      <c r="AD33" s="6">
        <f>AD20/AD22</f>
        <v>0.14781093826986696</v>
      </c>
      <c r="AE33" s="6">
        <f t="shared" ref="AE33:AH33" si="41">AE20/AE22</f>
        <v>0.15118503732263802</v>
      </c>
      <c r="AF33" s="6">
        <f>AF20/AF22</f>
        <v>0.15320949675430065</v>
      </c>
      <c r="AG33" s="6">
        <f t="shared" si="41"/>
        <v>0.15455913637540908</v>
      </c>
      <c r="AH33" s="6">
        <f t="shared" si="41"/>
        <v>0.15658359580707173</v>
      </c>
      <c r="AJ33" s="7"/>
      <c r="AK33" s="7"/>
      <c r="AL33" s="7"/>
      <c r="AM33" s="7"/>
      <c r="AN33" s="7"/>
      <c r="AO33" s="7"/>
      <c r="AP33" s="7"/>
      <c r="AR33" s="7"/>
      <c r="AS33" s="7"/>
      <c r="AT33" s="7"/>
      <c r="AU33" s="7"/>
      <c r="AV33" s="7"/>
      <c r="AW33" s="7"/>
      <c r="AX33" s="7"/>
    </row>
    <row r="34" spans="1:50" x14ac:dyDescent="0.25">
      <c r="A34" s="2" t="s">
        <v>30</v>
      </c>
      <c r="B34">
        <v>414578</v>
      </c>
      <c r="C34">
        <v>429174</v>
      </c>
      <c r="D34">
        <v>451079</v>
      </c>
      <c r="E34">
        <v>474060</v>
      </c>
      <c r="F34">
        <v>493739</v>
      </c>
      <c r="J34" t="s">
        <v>63</v>
      </c>
      <c r="K34" s="6">
        <f>(K20-K26-K27)/K22</f>
        <v>0.14867822470961589</v>
      </c>
      <c r="L34" s="6">
        <f t="shared" ref="L34:O34" si="42">(L20-L26-L27)/L22</f>
        <v>0.15279545182151213</v>
      </c>
      <c r="M34" s="6">
        <f>(M20-M26-M27)/M22</f>
        <v>0.15526578808864991</v>
      </c>
      <c r="N34" s="6">
        <f t="shared" si="42"/>
        <v>0.15691267893340838</v>
      </c>
      <c r="O34" s="6">
        <f t="shared" si="42"/>
        <v>0.15938301520054612</v>
      </c>
      <c r="P34" s="6"/>
      <c r="Q34" s="6">
        <f>(Q20-Q26-Q27)/Q22</f>
        <v>0.16019607401587674</v>
      </c>
      <c r="R34" s="6">
        <f t="shared" ref="R34:U34" si="43">(R20-R26-R27)/R22</f>
        <v>0.16431404536833624</v>
      </c>
      <c r="S34" s="6">
        <f>(S20-S26-S27)/S22</f>
        <v>0.16678482817981194</v>
      </c>
      <c r="T34" s="6">
        <f t="shared" si="43"/>
        <v>0.16843201672079575</v>
      </c>
      <c r="U34" s="6">
        <f t="shared" si="43"/>
        <v>0.17090279953227144</v>
      </c>
      <c r="V34" s="7"/>
      <c r="W34" t="s">
        <v>63</v>
      </c>
      <c r="X34" s="6">
        <f>(X20-X26-X27)/X22</f>
        <v>0.1219048283680509</v>
      </c>
      <c r="Y34" s="6">
        <f t="shared" ref="Y34:AB34" si="44">(Y20-Y26-Y27)/Y22</f>
        <v>0.1252806412378123</v>
      </c>
      <c r="Z34" s="6">
        <f>(Z20-Z26-Z27)/Z22</f>
        <v>0.12730612895966914</v>
      </c>
      <c r="AA34" s="6">
        <f t="shared" si="44"/>
        <v>0.1286564541075737</v>
      </c>
      <c r="AB34" s="6">
        <f t="shared" si="44"/>
        <v>0.13068194182943052</v>
      </c>
      <c r="AC34" s="6"/>
      <c r="AD34" s="6">
        <f>(AD20-AD26-AD27)/AD22</f>
        <v>0.13125817916916382</v>
      </c>
      <c r="AE34" s="6">
        <f t="shared" ref="AE34:AH34" si="45">(AE20-AE26-AE27)/AE22</f>
        <v>0.13463227822193488</v>
      </c>
      <c r="AF34" s="6">
        <f>(AF20-AF26-AF27)/AF22</f>
        <v>0.13665673765359754</v>
      </c>
      <c r="AG34" s="6">
        <f t="shared" si="45"/>
        <v>0.13800637727470597</v>
      </c>
      <c r="AH34" s="6">
        <f t="shared" si="45"/>
        <v>0.14003083670636859</v>
      </c>
      <c r="AJ34" s="7"/>
      <c r="AK34" s="7"/>
      <c r="AL34" s="7"/>
      <c r="AM34" s="7"/>
      <c r="AN34" s="7"/>
      <c r="AO34" s="7"/>
      <c r="AP34" s="7"/>
      <c r="AR34" s="7"/>
      <c r="AS34" s="7"/>
      <c r="AT34" s="7"/>
      <c r="AU34" s="7"/>
      <c r="AV34" s="7"/>
      <c r="AW34" s="7"/>
      <c r="AX34" s="7"/>
    </row>
    <row r="35" spans="1:50" x14ac:dyDescent="0.25">
      <c r="A35" s="2" t="s">
        <v>31</v>
      </c>
      <c r="B35">
        <v>9031</v>
      </c>
      <c r="C35">
        <v>8965</v>
      </c>
      <c r="D35">
        <v>8948</v>
      </c>
      <c r="E35">
        <v>8948</v>
      </c>
      <c r="F35">
        <v>8948</v>
      </c>
      <c r="J35" t="s">
        <v>64</v>
      </c>
      <c r="K35" s="6">
        <f>K22/(K22+K23+K24+K25)</f>
        <v>0.54122939376418988</v>
      </c>
      <c r="L35" s="6">
        <f t="shared" ref="L35:O35" si="46">L22/(L22+L23+L24+L25)</f>
        <v>0.54122939376418988</v>
      </c>
      <c r="M35" s="6">
        <f>M22/(M22+M23+M24+M25)</f>
        <v>0.54122939376418988</v>
      </c>
      <c r="N35" s="6">
        <f t="shared" si="46"/>
        <v>0.54122939376418988</v>
      </c>
      <c r="O35" s="6">
        <f t="shared" si="46"/>
        <v>0.54122939376418988</v>
      </c>
      <c r="P35" s="6"/>
      <c r="Q35" s="6">
        <f>Q22/(Q22+Q23+Q24+Q25)</f>
        <v>0.5414672081100903</v>
      </c>
      <c r="R35" s="6">
        <f t="shared" ref="R35:U35" si="47">R22/(R22+R23+R24+R25)</f>
        <v>0.5414672081100903</v>
      </c>
      <c r="S35" s="6">
        <f>S22/(S22+S23+S24+S25)</f>
        <v>0.5414672081100903</v>
      </c>
      <c r="T35" s="6">
        <f t="shared" si="47"/>
        <v>0.5414672081100903</v>
      </c>
      <c r="U35" s="6">
        <f t="shared" si="47"/>
        <v>0.5414672081100903</v>
      </c>
      <c r="V35" s="7"/>
      <c r="W35" t="s">
        <v>64</v>
      </c>
      <c r="X35" s="6">
        <f>X22/(X22+X23+X24+X25)</f>
        <v>0.58996886064930498</v>
      </c>
      <c r="Y35" s="6">
        <f t="shared" ref="Y35:AB35" si="48">Y22/(Y22+Y23+Y24+Y25)</f>
        <v>0.58996886064930498</v>
      </c>
      <c r="Z35" s="6">
        <f>Z22/(Z22+Z23+Z24+Z25)</f>
        <v>0.58996886064930498</v>
      </c>
      <c r="AA35" s="6">
        <f t="shared" si="48"/>
        <v>0.58996886064930498</v>
      </c>
      <c r="AB35" s="6">
        <f t="shared" si="48"/>
        <v>0.58996886064930498</v>
      </c>
      <c r="AC35" s="6"/>
      <c r="AD35" s="6">
        <f>AD22/(AD22+AD23+AD24+AD25)</f>
        <v>0.59036706482486723</v>
      </c>
      <c r="AE35" s="6">
        <f t="shared" ref="AE35:AH35" si="49">AE22/(AE22+AE23+AE24+AE25)</f>
        <v>0.59036706482486723</v>
      </c>
      <c r="AF35" s="6">
        <f>AF22/(AF22+AF23+AF24+AF25)</f>
        <v>0.59036706482486723</v>
      </c>
      <c r="AG35" s="6">
        <f t="shared" si="49"/>
        <v>0.59036706482486723</v>
      </c>
      <c r="AH35" s="6">
        <f t="shared" si="49"/>
        <v>0.59036706482486723</v>
      </c>
      <c r="AJ35" s="7"/>
      <c r="AK35" s="7"/>
      <c r="AL35" s="7"/>
      <c r="AM35" s="7"/>
      <c r="AN35" s="7"/>
      <c r="AO35" s="7"/>
      <c r="AP35" s="7"/>
      <c r="AR35" s="7"/>
      <c r="AS35" s="7"/>
      <c r="AT35" s="7"/>
      <c r="AU35" s="7"/>
      <c r="AV35" s="7"/>
      <c r="AW35" s="7"/>
      <c r="AX35" s="7"/>
    </row>
    <row r="36" spans="1:50" x14ac:dyDescent="0.25">
      <c r="M36" s="7"/>
      <c r="N36" s="7"/>
      <c r="O36" s="7"/>
      <c r="S36" s="7"/>
      <c r="T36" s="7"/>
      <c r="U36" s="7"/>
      <c r="V36" s="7"/>
      <c r="Z36" s="7"/>
      <c r="AA36" s="7"/>
      <c r="AB36" s="7"/>
      <c r="AF36" s="7"/>
      <c r="AG36" s="7"/>
      <c r="AH36" s="7"/>
      <c r="AL36" s="7"/>
      <c r="AM36" s="7"/>
      <c r="AN36" s="7"/>
      <c r="AO36" s="7"/>
      <c r="AP36" s="7"/>
      <c r="AT36" s="7"/>
      <c r="AU36" s="7"/>
      <c r="AV36" s="7"/>
      <c r="AW36" s="7"/>
      <c r="AX36" s="7"/>
    </row>
    <row r="37" spans="1:50" x14ac:dyDescent="0.25">
      <c r="A37" t="s">
        <v>27</v>
      </c>
      <c r="B37" s="7">
        <f>(B31+B$27)/B$27</f>
        <v>3.6548906175405094</v>
      </c>
      <c r="C37" s="7">
        <f t="shared" ref="C37:F37" si="50">(C31+C$27)/C$27</f>
        <v>3.7370010063737</v>
      </c>
      <c r="D37" s="7">
        <f t="shared" si="50"/>
        <v>3.8319895895216272</v>
      </c>
      <c r="E37" s="7">
        <f t="shared" si="50"/>
        <v>3.9649738293959542</v>
      </c>
      <c r="F37" s="7">
        <f t="shared" si="50"/>
        <v>3.8513808536186005</v>
      </c>
      <c r="K37" t="s">
        <v>32</v>
      </c>
      <c r="L37" t="s">
        <v>32</v>
      </c>
      <c r="M37" t="s">
        <v>32</v>
      </c>
      <c r="N37" t="s">
        <v>32</v>
      </c>
      <c r="O37" t="s">
        <v>32</v>
      </c>
      <c r="Q37" t="s">
        <v>32</v>
      </c>
      <c r="R37" t="s">
        <v>32</v>
      </c>
      <c r="S37" t="s">
        <v>32</v>
      </c>
      <c r="T37" t="s">
        <v>32</v>
      </c>
      <c r="U37" t="s">
        <v>32</v>
      </c>
      <c r="X37" t="s">
        <v>32</v>
      </c>
      <c r="Y37" t="s">
        <v>32</v>
      </c>
      <c r="Z37" t="s">
        <v>32</v>
      </c>
      <c r="AA37" t="s">
        <v>32</v>
      </c>
      <c r="AB37" t="s">
        <v>32</v>
      </c>
      <c r="AD37" t="s">
        <v>32</v>
      </c>
      <c r="AE37" t="s">
        <v>32</v>
      </c>
      <c r="AF37" t="s">
        <v>32</v>
      </c>
      <c r="AG37" t="s">
        <v>32</v>
      </c>
      <c r="AH37" t="s">
        <v>32</v>
      </c>
      <c r="AI37" s="2"/>
    </row>
    <row r="38" spans="1:50" x14ac:dyDescent="0.25">
      <c r="A38" t="s">
        <v>28</v>
      </c>
      <c r="B38" s="7">
        <f>(B$31+B$23+B$24)/(B$23+B$24)</f>
        <v>3.6116912536604233</v>
      </c>
      <c r="C38" s="7">
        <f>(C$31+C$23+C$24)/(C$23+C$24)</f>
        <v>3.6495277785294835</v>
      </c>
      <c r="D38" s="7">
        <f>(D$31+D$23+D$24)/(D$23+D$24)</f>
        <v>3.7747657852430843</v>
      </c>
      <c r="E38" s="7">
        <f>(E$31+E$23+E$24)/(E$23+E$24)</f>
        <v>3.8952646701292961</v>
      </c>
      <c r="F38" s="7">
        <f>(F$31+F$23+F$24)/(F$23+F$24)</f>
        <v>3.7848081023454156</v>
      </c>
      <c r="K38" s="6">
        <v>7.4999999999999997E-2</v>
      </c>
      <c r="L38" s="6">
        <v>0.08</v>
      </c>
      <c r="M38" s="6">
        <v>8.3000000000000004E-2</v>
      </c>
      <c r="N38" s="6">
        <v>8.5000000000000006E-2</v>
      </c>
      <c r="O38" s="6">
        <v>8.7999999999999995E-2</v>
      </c>
      <c r="Q38" s="6">
        <v>7.4999999999999997E-2</v>
      </c>
      <c r="R38" s="6">
        <v>0.08</v>
      </c>
      <c r="S38" s="6">
        <v>8.3000000000000004E-2</v>
      </c>
      <c r="T38" s="6">
        <v>8.5000000000000006E-2</v>
      </c>
      <c r="U38" s="6">
        <v>8.7999999999999995E-2</v>
      </c>
      <c r="X38" s="6">
        <v>7.4999999999999997E-2</v>
      </c>
      <c r="Y38" s="6">
        <v>0.08</v>
      </c>
      <c r="Z38" s="6">
        <v>8.3000000000000004E-2</v>
      </c>
      <c r="AA38" s="6">
        <v>8.5000000000000006E-2</v>
      </c>
      <c r="AB38" s="6">
        <v>8.7999999999999995E-2</v>
      </c>
      <c r="AD38" s="6">
        <v>7.4999999999999997E-2</v>
      </c>
      <c r="AE38" s="6">
        <v>0.08</v>
      </c>
      <c r="AF38" s="6">
        <v>8.3000000000000004E-2</v>
      </c>
      <c r="AG38" s="6">
        <v>8.5000000000000006E-2</v>
      </c>
      <c r="AH38" s="6">
        <v>8.7999999999999995E-2</v>
      </c>
      <c r="AL38" s="5"/>
      <c r="AM38" s="5"/>
      <c r="AN38" s="5"/>
      <c r="AT38" s="5"/>
      <c r="AU38" s="5"/>
      <c r="AV38" s="5"/>
    </row>
    <row r="39" spans="1:50" x14ac:dyDescent="0.25">
      <c r="A39" t="s">
        <v>29</v>
      </c>
      <c r="B39" s="7">
        <f>(B$31+B$23+B$24+B$25)/(B$23+B$24+B$25)</f>
        <v>3.5900821917808221</v>
      </c>
      <c r="C39" s="7">
        <f>(C$31+C$23+C$24+C$25)/(C$23+C$24+C$25)</f>
        <v>3.6314403203698227</v>
      </c>
      <c r="D39" s="7">
        <f>(D$31+D$23+D$24+D$25)/(D$23+D$24+D$25)</f>
        <v>3.7560498857473226</v>
      </c>
      <c r="E39" s="7">
        <f>(E$31+E$23+E$24+E$25)/(E$23+E$24+E$25)</f>
        <v>3.8777735061511422</v>
      </c>
      <c r="F39" s="7">
        <f>(F$31+F$23+F$24+F$25)/(F$23+F$24+F$25)</f>
        <v>3.7690880661489943</v>
      </c>
      <c r="J39" s="2" t="s">
        <v>49</v>
      </c>
      <c r="K39" s="5" t="s">
        <v>8</v>
      </c>
      <c r="L39" s="5" t="s">
        <v>8</v>
      </c>
      <c r="M39" s="5" t="s">
        <v>8</v>
      </c>
      <c r="N39" s="5" t="s">
        <v>8</v>
      </c>
      <c r="O39" s="5" t="s">
        <v>8</v>
      </c>
      <c r="Q39" s="5" t="s">
        <v>8</v>
      </c>
      <c r="R39" s="5" t="s">
        <v>8</v>
      </c>
      <c r="S39" s="5" t="s">
        <v>8</v>
      </c>
      <c r="T39" s="5" t="s">
        <v>8</v>
      </c>
      <c r="U39" s="5" t="s">
        <v>8</v>
      </c>
      <c r="W39" s="2" t="s">
        <v>49</v>
      </c>
      <c r="X39" s="5" t="s">
        <v>8</v>
      </c>
      <c r="Y39" s="5" t="s">
        <v>8</v>
      </c>
      <c r="Z39" s="5" t="s">
        <v>8</v>
      </c>
      <c r="AA39" s="5" t="s">
        <v>8</v>
      </c>
      <c r="AB39" s="5" t="s">
        <v>8</v>
      </c>
      <c r="AD39" s="5" t="s">
        <v>8</v>
      </c>
      <c r="AE39" s="5" t="s">
        <v>8</v>
      </c>
      <c r="AF39" s="5" t="s">
        <v>8</v>
      </c>
      <c r="AG39" s="5" t="s">
        <v>8</v>
      </c>
      <c r="AH39" s="5" t="s">
        <v>8</v>
      </c>
      <c r="AL39" s="7"/>
      <c r="AM39" s="7"/>
      <c r="AN39" s="7"/>
      <c r="AT39" s="7"/>
      <c r="AU39" s="7"/>
      <c r="AV39" s="7"/>
    </row>
    <row r="40" spans="1:50" x14ac:dyDescent="0.25">
      <c r="B40" s="7"/>
      <c r="C40" s="7"/>
      <c r="D40" s="7"/>
      <c r="E40" s="7"/>
      <c r="F40" s="7"/>
      <c r="J40" t="s">
        <v>50</v>
      </c>
      <c r="K40" s="12">
        <f t="shared" ref="K40:O40" si="51">K20/K22</f>
        <v>0.1819036899234501</v>
      </c>
      <c r="L40" s="12">
        <f t="shared" si="51"/>
        <v>0.18602091703534634</v>
      </c>
      <c r="M40" s="12">
        <f>M20/M22</f>
        <v>0.18849125330248412</v>
      </c>
      <c r="N40" s="12">
        <f t="shared" si="51"/>
        <v>0.19013814414724259</v>
      </c>
      <c r="O40" s="12">
        <f t="shared" si="51"/>
        <v>0.19260848041438033</v>
      </c>
      <c r="P40" s="6"/>
      <c r="Q40" s="12">
        <f t="shared" ref="Q40:U40" si="52">Q20/Q22</f>
        <v>0.1803981447656603</v>
      </c>
      <c r="R40" s="12">
        <f t="shared" si="52"/>
        <v>0.1845161161181198</v>
      </c>
      <c r="S40" s="12">
        <f>S20/S22</f>
        <v>0.1869868989295955</v>
      </c>
      <c r="T40" s="12">
        <f t="shared" si="52"/>
        <v>0.1886340874705793</v>
      </c>
      <c r="U40" s="12">
        <f t="shared" si="52"/>
        <v>0.191104870282055</v>
      </c>
      <c r="W40" t="s">
        <v>50</v>
      </c>
      <c r="X40" s="12">
        <f t="shared" ref="X40:AB40" si="53">X20/X22</f>
        <v>0.14914718105454453</v>
      </c>
      <c r="Y40" s="12">
        <f t="shared" si="53"/>
        <v>0.15252299392430591</v>
      </c>
      <c r="Z40" s="12">
        <f>Z20/Z22</f>
        <v>0.15454848164616275</v>
      </c>
      <c r="AA40" s="12">
        <f t="shared" si="53"/>
        <v>0.15589880679406731</v>
      </c>
      <c r="AB40" s="12">
        <f t="shared" si="53"/>
        <v>0.15792429451592413</v>
      </c>
      <c r="AC40" s="6"/>
      <c r="AD40" s="12">
        <f t="shared" ref="AD40:AH40" si="54">AD20/AD22</f>
        <v>0.14781093826986696</v>
      </c>
      <c r="AE40" s="12">
        <f t="shared" si="54"/>
        <v>0.15118503732263802</v>
      </c>
      <c r="AF40" s="12">
        <f>AF20/AF22</f>
        <v>0.15320949675430065</v>
      </c>
      <c r="AG40" s="12">
        <f t="shared" si="54"/>
        <v>0.15455913637540908</v>
      </c>
      <c r="AH40" s="12">
        <f t="shared" si="54"/>
        <v>0.15658359580707173</v>
      </c>
      <c r="AL40" s="7"/>
      <c r="AM40" s="7"/>
      <c r="AN40" s="7"/>
      <c r="AT40" s="7"/>
      <c r="AU40" s="7"/>
      <c r="AV40" s="7"/>
    </row>
    <row r="41" spans="1:50" x14ac:dyDescent="0.25">
      <c r="A41" t="s">
        <v>24</v>
      </c>
      <c r="B41" s="6">
        <f>B31/B33</f>
        <v>0.18750657000902446</v>
      </c>
      <c r="C41" s="6">
        <f t="shared" ref="C41:F41" si="55">C31/C33</f>
        <v>0.18395668070810958</v>
      </c>
      <c r="D41" s="6">
        <f t="shared" si="55"/>
        <v>0.18005716043231848</v>
      </c>
      <c r="E41" s="6">
        <f t="shared" si="55"/>
        <v>0.18203309692671396</v>
      </c>
      <c r="F41" s="6">
        <f t="shared" si="55"/>
        <v>0.17429060889785203</v>
      </c>
      <c r="J41" t="s">
        <v>51</v>
      </c>
      <c r="K41" s="13">
        <f t="shared" ref="K41:O41" si="56">K22/(K22+K23+K24)</f>
        <v>0.54377729144214049</v>
      </c>
      <c r="L41" s="13">
        <f t="shared" si="56"/>
        <v>0.54377729144214049</v>
      </c>
      <c r="M41" s="13">
        <f>M22/(M22+M23+M24)</f>
        <v>0.54377729144214049</v>
      </c>
      <c r="N41" s="13">
        <f t="shared" si="56"/>
        <v>0.54377729144214049</v>
      </c>
      <c r="O41" s="13">
        <f t="shared" si="56"/>
        <v>0.54377729144214049</v>
      </c>
      <c r="P41" s="6"/>
      <c r="Q41" s="13">
        <f t="shared" ref="Q41:U41" si="57">Q22/(Q22+Q23+Q24)</f>
        <v>0.54391569435119491</v>
      </c>
      <c r="R41" s="13">
        <f t="shared" si="57"/>
        <v>0.54391569435119491</v>
      </c>
      <c r="S41" s="13">
        <f>S22/(S22+S23+S24)</f>
        <v>0.54391569435119491</v>
      </c>
      <c r="T41" s="13">
        <f t="shared" si="57"/>
        <v>0.54391569435119491</v>
      </c>
      <c r="U41" s="13">
        <f t="shared" si="57"/>
        <v>0.54391569435119491</v>
      </c>
      <c r="W41" t="s">
        <v>51</v>
      </c>
      <c r="X41" s="13">
        <f t="shared" ref="X41:AB41" si="58">X22/(X22+X23+X24)</f>
        <v>0.59244990085643168</v>
      </c>
      <c r="Y41" s="13">
        <f t="shared" si="58"/>
        <v>0.59244990085643168</v>
      </c>
      <c r="Z41" s="13">
        <f>Z22/(Z22+Z23+Z24)</f>
        <v>0.59244990085643168</v>
      </c>
      <c r="AA41" s="13">
        <f t="shared" si="58"/>
        <v>0.59244990085643168</v>
      </c>
      <c r="AB41" s="13">
        <f t="shared" si="58"/>
        <v>0.59244990085643168</v>
      </c>
      <c r="AC41" s="6"/>
      <c r="AD41" s="13">
        <f t="shared" ref="AD41:AH41" si="59">AD22/(AD22+AD23+AD24)</f>
        <v>0.59275082584118333</v>
      </c>
      <c r="AE41" s="13">
        <f t="shared" si="59"/>
        <v>0.59275082584118333</v>
      </c>
      <c r="AF41" s="13">
        <f>AF22/(AF22+AF23+AF24)</f>
        <v>0.59275082584118333</v>
      </c>
      <c r="AG41" s="13">
        <f t="shared" si="59"/>
        <v>0.59275082584118333</v>
      </c>
      <c r="AH41" s="13">
        <f t="shared" si="59"/>
        <v>0.59275082584118333</v>
      </c>
      <c r="AL41" s="7"/>
      <c r="AM41" s="7"/>
      <c r="AN41" s="7"/>
      <c r="AT41" s="7"/>
      <c r="AU41" s="7"/>
      <c r="AV41" s="7"/>
    </row>
    <row r="42" spans="1:50" x14ac:dyDescent="0.25">
      <c r="B42" s="6"/>
      <c r="C42" s="6"/>
      <c r="D42" s="6"/>
      <c r="E42" s="6"/>
      <c r="F42" s="6"/>
      <c r="J42" t="s">
        <v>52</v>
      </c>
      <c r="K42" s="9">
        <f t="shared" ref="K42:O42" si="60">K17/(K14+K15)</f>
        <v>2.4010215605175818</v>
      </c>
      <c r="L42" s="9">
        <f t="shared" si="60"/>
        <v>2.4929950668085494</v>
      </c>
      <c r="M42" s="9">
        <f>M17/(M14+M15)</f>
        <v>2.54817917058313</v>
      </c>
      <c r="N42" s="9">
        <f t="shared" si="60"/>
        <v>2.5849685730995171</v>
      </c>
      <c r="O42" s="9">
        <f t="shared" si="60"/>
        <v>2.6401526768740977</v>
      </c>
      <c r="Q42" s="9">
        <f t="shared" ref="Q42:U42" si="61">Q17/(Q14+Q15)</f>
        <v>2.4135813989806616</v>
      </c>
      <c r="R42" s="9">
        <f t="shared" si="61"/>
        <v>2.5064360067329976</v>
      </c>
      <c r="S42" s="9">
        <f>S17/(S14+S15)</f>
        <v>2.5621487713843987</v>
      </c>
      <c r="T42" s="9">
        <f t="shared" si="61"/>
        <v>2.5992906144853332</v>
      </c>
      <c r="U42" s="9">
        <f t="shared" si="61"/>
        <v>2.6550033791367347</v>
      </c>
      <c r="W42" t="s">
        <v>52</v>
      </c>
      <c r="X42" s="9">
        <f t="shared" ref="X42:AB42" si="62">X17/(X14+X15)</f>
        <v>2.2125371118280093</v>
      </c>
      <c r="Y42" s="9">
        <f t="shared" si="62"/>
        <v>2.2921370928886473</v>
      </c>
      <c r="Z42" s="9">
        <f>Z17/(Z14+Z15)</f>
        <v>2.3398970815250304</v>
      </c>
      <c r="AA42" s="9">
        <f t="shared" si="62"/>
        <v>2.3717370739492858</v>
      </c>
      <c r="AB42" s="9">
        <f t="shared" si="62"/>
        <v>2.4194970625856684</v>
      </c>
      <c r="AD42" s="9">
        <f t="shared" ref="AD42:AH42" si="63">AD17/(AD14+AD15)</f>
        <v>2.2220229855723312</v>
      </c>
      <c r="AE42" s="9">
        <f t="shared" si="63"/>
        <v>2.3022946028074482</v>
      </c>
      <c r="AF42" s="9">
        <f>AF17/(AF14+AF15)</f>
        <v>2.350457573148518</v>
      </c>
      <c r="AG42" s="9">
        <f t="shared" si="63"/>
        <v>2.3825662200425648</v>
      </c>
      <c r="AH42" s="9">
        <f t="shared" si="63"/>
        <v>2.4307291903836346</v>
      </c>
      <c r="AL42" s="7"/>
      <c r="AM42" s="7"/>
      <c r="AN42" s="7"/>
      <c r="AT42" s="7"/>
      <c r="AU42" s="7"/>
      <c r="AV42" s="7"/>
    </row>
    <row r="43" spans="1:50" x14ac:dyDescent="0.25">
      <c r="A43" t="s">
        <v>33</v>
      </c>
      <c r="B43" s="6">
        <f>B20/B34</f>
        <v>9.1642585954874595E-2</v>
      </c>
      <c r="C43" s="6">
        <f>C20/C34</f>
        <v>9.1506009217706574E-2</v>
      </c>
      <c r="D43" s="6">
        <f>D20/D34</f>
        <v>8.8164157497910567E-2</v>
      </c>
      <c r="E43" s="6">
        <f>E20/E34</f>
        <v>7.9635489178584984E-2</v>
      </c>
      <c r="F43" s="6">
        <f>F20/F34</f>
        <v>7.222641922149152E-2</v>
      </c>
      <c r="K43" s="7"/>
      <c r="L43" s="7"/>
      <c r="M43" s="7"/>
      <c r="N43" s="7"/>
      <c r="O43" s="7"/>
      <c r="Q43" s="7"/>
      <c r="R43" s="7"/>
      <c r="S43" s="7"/>
      <c r="T43" s="7"/>
      <c r="U43" s="7"/>
      <c r="X43" s="7"/>
      <c r="Y43" s="7"/>
      <c r="Z43" s="7"/>
      <c r="AA43" s="7"/>
      <c r="AB43" s="7"/>
      <c r="AD43" s="7"/>
      <c r="AE43" s="7"/>
      <c r="AF43" s="7"/>
      <c r="AG43" s="7"/>
      <c r="AH43" s="7"/>
    </row>
    <row r="44" spans="1:50" x14ac:dyDescent="0.25">
      <c r="V44" s="6"/>
      <c r="AJ44" s="6"/>
      <c r="AK44" s="6"/>
      <c r="AL44" s="6"/>
      <c r="AM44" s="6"/>
      <c r="AN44" s="6"/>
      <c r="AO44" s="6"/>
      <c r="AP44" s="6"/>
      <c r="AR44" s="6"/>
      <c r="AS44" s="6"/>
      <c r="AT44" s="6"/>
      <c r="AU44" s="6"/>
      <c r="AV44" s="6"/>
      <c r="AW44" s="6"/>
      <c r="AX44" s="6"/>
    </row>
    <row r="45" spans="1:50" x14ac:dyDescent="0.25">
      <c r="A45" t="s">
        <v>45</v>
      </c>
      <c r="B45">
        <v>4732</v>
      </c>
      <c r="C45">
        <v>6111</v>
      </c>
      <c r="D45">
        <v>4984</v>
      </c>
      <c r="E45">
        <v>4984</v>
      </c>
      <c r="F45">
        <v>4984</v>
      </c>
      <c r="V45" s="5"/>
      <c r="AI45" s="2"/>
      <c r="AJ45" s="5"/>
      <c r="AK45" s="5"/>
      <c r="AL45" s="5"/>
      <c r="AM45" s="5"/>
      <c r="AN45" s="5"/>
      <c r="AO45" s="5"/>
      <c r="AP45" s="5"/>
      <c r="AR45" s="5"/>
      <c r="AS45" s="5"/>
      <c r="AT45" s="5"/>
      <c r="AU45" s="5"/>
      <c r="AV45" s="5"/>
      <c r="AW45" s="5"/>
      <c r="AX45" s="5"/>
    </row>
    <row r="46" spans="1:50" x14ac:dyDescent="0.25">
      <c r="A46" t="s">
        <v>46</v>
      </c>
      <c r="B46">
        <v>22705</v>
      </c>
      <c r="C46">
        <v>23117</v>
      </c>
      <c r="D46">
        <v>9504</v>
      </c>
      <c r="E46">
        <v>18576</v>
      </c>
      <c r="F46">
        <v>11559</v>
      </c>
      <c r="J46" s="2"/>
      <c r="L46" s="5"/>
      <c r="R46" s="5"/>
      <c r="V46" s="11"/>
      <c r="W46" s="2"/>
      <c r="Y46" s="5"/>
      <c r="AE46" s="5"/>
      <c r="AJ46" s="11"/>
      <c r="AK46" s="11"/>
      <c r="AL46" s="11"/>
      <c r="AM46" s="11"/>
      <c r="AN46" s="11"/>
      <c r="AO46" s="11"/>
      <c r="AP46" s="11"/>
      <c r="AR46" s="11"/>
      <c r="AS46" s="11"/>
      <c r="AT46" s="11"/>
      <c r="AU46" s="11"/>
      <c r="AV46" s="11"/>
      <c r="AW46" s="11"/>
      <c r="AX46" s="11"/>
    </row>
    <row r="47" spans="1:50" x14ac:dyDescent="0.25">
      <c r="A47" t="s">
        <v>47</v>
      </c>
      <c r="B47" s="7">
        <f>B46/B20</f>
        <v>0.59761008606848631</v>
      </c>
      <c r="C47" s="7">
        <f>C46/C20</f>
        <v>0.58863821552250972</v>
      </c>
      <c r="D47" s="7">
        <f>D46/D20</f>
        <v>0.2389801101360356</v>
      </c>
      <c r="E47" s="7">
        <f>E46/E20</f>
        <v>0.49205340114431023</v>
      </c>
      <c r="F47" s="7">
        <f>F46/F20</f>
        <v>0.32413561033061328</v>
      </c>
      <c r="L47" s="10"/>
      <c r="M47" s="10"/>
      <c r="N47" s="10"/>
      <c r="R47" s="10"/>
      <c r="S47" s="10"/>
      <c r="T47" s="10"/>
      <c r="V47" s="9"/>
      <c r="Y47" s="10"/>
      <c r="Z47" s="10"/>
      <c r="AA47" s="10"/>
      <c r="AE47" s="10"/>
      <c r="AF47" s="10"/>
      <c r="AG47" s="10"/>
      <c r="AJ47" s="9"/>
      <c r="AK47" s="9"/>
      <c r="AL47" s="9"/>
      <c r="AM47" s="9"/>
      <c r="AN47" s="9"/>
      <c r="AO47" s="9"/>
      <c r="AP47" s="9"/>
      <c r="AR47" s="9"/>
      <c r="AS47" s="9"/>
      <c r="AT47" s="9"/>
      <c r="AU47" s="9"/>
      <c r="AV47" s="9"/>
      <c r="AW47" s="9"/>
      <c r="AX47" s="9"/>
    </row>
    <row r="48" spans="1:50" x14ac:dyDescent="0.25">
      <c r="L48" s="10"/>
      <c r="M48" s="10"/>
      <c r="N48" s="10"/>
      <c r="R48" s="10"/>
      <c r="S48" s="10"/>
      <c r="T48" s="10"/>
      <c r="V48" s="9"/>
      <c r="Y48" s="10"/>
      <c r="Z48" s="10"/>
      <c r="AA48" s="10"/>
      <c r="AE48" s="10"/>
      <c r="AF48" s="10"/>
      <c r="AG48" s="10"/>
      <c r="AJ48" s="9"/>
      <c r="AK48" s="9"/>
      <c r="AL48" s="9"/>
      <c r="AM48" s="9"/>
      <c r="AN48" s="9"/>
      <c r="AO48" s="9"/>
      <c r="AP48" s="9"/>
      <c r="AR48" s="9"/>
      <c r="AS48" s="9"/>
      <c r="AT48" s="9"/>
      <c r="AU48" s="9"/>
      <c r="AV48" s="9"/>
      <c r="AW48" s="9"/>
      <c r="AX48" s="9"/>
    </row>
    <row r="49" spans="1:50" x14ac:dyDescent="0.25">
      <c r="L49" s="10"/>
      <c r="M49" s="10"/>
      <c r="N49" s="10"/>
      <c r="R49" s="10"/>
      <c r="S49" s="10"/>
      <c r="T49" s="10"/>
      <c r="Y49" s="10"/>
      <c r="Z49" s="10"/>
      <c r="AA49" s="10"/>
      <c r="AE49" s="10"/>
      <c r="AF49" s="10"/>
      <c r="AG49" s="10"/>
      <c r="AJ49" s="7"/>
      <c r="AK49" s="7"/>
      <c r="AL49" s="7"/>
      <c r="AM49" s="7"/>
      <c r="AN49" s="7"/>
      <c r="AR49" s="7"/>
      <c r="AS49" s="7"/>
      <c r="AT49" s="7"/>
      <c r="AU49" s="7"/>
      <c r="AV49" s="7"/>
    </row>
    <row r="50" spans="1:50" x14ac:dyDescent="0.25">
      <c r="A50" s="2" t="s">
        <v>48</v>
      </c>
      <c r="B50" s="5">
        <v>2013</v>
      </c>
      <c r="C50" s="5">
        <v>2014</v>
      </c>
      <c r="D50" s="5" t="s">
        <v>7</v>
      </c>
      <c r="E50" s="5" t="s">
        <v>8</v>
      </c>
      <c r="F50" s="5" t="s">
        <v>9</v>
      </c>
    </row>
    <row r="51" spans="1:50" x14ac:dyDescent="0.25">
      <c r="A51" t="s">
        <v>61</v>
      </c>
      <c r="B51" s="7">
        <f>B38</f>
        <v>3.6116912536604233</v>
      </c>
      <c r="C51" s="7">
        <f>C38</f>
        <v>3.6495277785294835</v>
      </c>
      <c r="D51" s="7">
        <f>D38</f>
        <v>3.7747657852430843</v>
      </c>
      <c r="E51" s="7">
        <f>E38</f>
        <v>3.8952646701292961</v>
      </c>
      <c r="F51" s="7">
        <f>F38</f>
        <v>3.7848081023454156</v>
      </c>
      <c r="J51" s="2"/>
      <c r="K51" s="7"/>
      <c r="Q51" s="7"/>
      <c r="W51" s="2"/>
      <c r="X51" s="7"/>
      <c r="AD51" s="7"/>
    </row>
    <row r="52" spans="1:50" x14ac:dyDescent="0.25">
      <c r="A52" t="s">
        <v>62</v>
      </c>
      <c r="B52" s="6">
        <f>B41</f>
        <v>0.18750657000902446</v>
      </c>
      <c r="C52" s="6">
        <f>C41</f>
        <v>0.18395668070810958</v>
      </c>
      <c r="D52" s="6">
        <f>D41</f>
        <v>0.18005716043231848</v>
      </c>
      <c r="E52" s="6">
        <f>E41</f>
        <v>0.18203309692671396</v>
      </c>
      <c r="F52" s="6">
        <f>F41</f>
        <v>0.17429060889785203</v>
      </c>
      <c r="AI52" s="2"/>
      <c r="AK52" s="5"/>
      <c r="AS52" s="5"/>
    </row>
    <row r="53" spans="1:50" x14ac:dyDescent="0.25">
      <c r="A53" t="s">
        <v>73</v>
      </c>
      <c r="B53" s="6">
        <f>(B31-B19-B46)/B33</f>
        <v>0.14135684322222994</v>
      </c>
      <c r="C53" s="6">
        <f>(C31-C19-C46)/C33</f>
        <v>0.13947624541085313</v>
      </c>
      <c r="D53" s="6">
        <f>(D31-D19-D46)/D33</f>
        <v>0.16197014635444865</v>
      </c>
      <c r="E53" s="6">
        <f>(E31-E19-E46)/E33</f>
        <v>0.14880763171287972</v>
      </c>
      <c r="F53" s="6">
        <f>(F31-F19-F46)/F33</f>
        <v>0.15408853814806844</v>
      </c>
      <c r="AK53" s="10"/>
      <c r="AL53" s="10"/>
      <c r="AM53" s="10"/>
      <c r="AS53" s="10"/>
      <c r="AT53" s="10"/>
      <c r="AU53" s="10"/>
    </row>
    <row r="54" spans="1:50" x14ac:dyDescent="0.25">
      <c r="A54" t="s">
        <v>74</v>
      </c>
      <c r="B54" s="6">
        <f>B33/(B33+B34+B35+B45)</f>
        <v>0.54066589028080714</v>
      </c>
      <c r="C54" s="6">
        <f>C33/(C33+C34+C35+C45)</f>
        <v>0.54505142941410201</v>
      </c>
      <c r="D54" s="6">
        <f>D33/(D33+D34+D35+D45)</f>
        <v>0.54454891820683848</v>
      </c>
      <c r="E54" s="6">
        <f>E33/(E33+E34+E35+E45)</f>
        <v>0.54122939376418988</v>
      </c>
      <c r="F54" s="6">
        <f>F33/(F33+F34+F35+F45)</f>
        <v>0.5414672081100903</v>
      </c>
      <c r="AK54" s="10"/>
      <c r="AL54" s="10"/>
      <c r="AM54" s="10"/>
      <c r="AS54" s="10"/>
      <c r="AT54" s="10"/>
      <c r="AU54" s="10"/>
    </row>
    <row r="55" spans="1:50" x14ac:dyDescent="0.25">
      <c r="A55" t="s">
        <v>42</v>
      </c>
      <c r="AK55" s="10"/>
      <c r="AL55" s="10"/>
      <c r="AM55" s="10"/>
      <c r="AS55" s="10"/>
      <c r="AT55" s="10"/>
      <c r="AU55" s="10"/>
    </row>
    <row r="56" spans="1:50" x14ac:dyDescent="0.25">
      <c r="A56" t="s">
        <v>43</v>
      </c>
    </row>
    <row r="57" spans="1:50" x14ac:dyDescent="0.25">
      <c r="A57" t="s">
        <v>44</v>
      </c>
      <c r="V57" s="2"/>
      <c r="AI57" s="2"/>
      <c r="AJ57" s="7"/>
      <c r="AO57" s="2"/>
      <c r="AR57" s="7"/>
      <c r="AW57" s="3"/>
      <c r="AX57" s="2"/>
    </row>
    <row r="58" spans="1:50" x14ac:dyDescent="0.25">
      <c r="L58" s="5"/>
      <c r="V58" s="2"/>
      <c r="AO58" s="2"/>
      <c r="AW58" s="3"/>
      <c r="AX58" s="2"/>
    </row>
    <row r="59" spans="1:50" x14ac:dyDescent="0.25">
      <c r="L59" s="8"/>
      <c r="V59" s="2"/>
      <c r="AO59" s="2"/>
      <c r="AW59" s="3"/>
      <c r="AX59" s="2"/>
    </row>
    <row r="60" spans="1:50" x14ac:dyDescent="0.25">
      <c r="L60" s="8"/>
      <c r="V60" s="2"/>
      <c r="AO60" s="2"/>
      <c r="AW60" s="3"/>
      <c r="AX60" s="2"/>
    </row>
    <row r="61" spans="1:50" x14ac:dyDescent="0.25">
      <c r="A61" s="2" t="s">
        <v>49</v>
      </c>
      <c r="B61" s="5">
        <v>2013</v>
      </c>
      <c r="C61" s="5">
        <v>2014</v>
      </c>
      <c r="D61" s="5" t="s">
        <v>7</v>
      </c>
      <c r="E61" s="5" t="s">
        <v>8</v>
      </c>
      <c r="F61" s="5" t="s">
        <v>9</v>
      </c>
      <c r="L61" s="8"/>
    </row>
    <row r="62" spans="1:50" x14ac:dyDescent="0.25">
      <c r="A62" t="s">
        <v>50</v>
      </c>
      <c r="B62" s="6">
        <f>B31/B33</f>
        <v>0.18750657000902446</v>
      </c>
      <c r="C62" s="6">
        <f t="shared" ref="C62:F62" si="64">C31/C33</f>
        <v>0.18395668070810958</v>
      </c>
      <c r="D62" s="6">
        <f t="shared" si="64"/>
        <v>0.18005716043231848</v>
      </c>
      <c r="E62" s="6">
        <f t="shared" si="64"/>
        <v>0.18203309692671396</v>
      </c>
      <c r="F62" s="6">
        <f t="shared" si="64"/>
        <v>0.17429060889785203</v>
      </c>
      <c r="G62" s="6"/>
      <c r="H62" s="6"/>
    </row>
    <row r="63" spans="1:50" x14ac:dyDescent="0.25">
      <c r="A63" t="s">
        <v>51</v>
      </c>
      <c r="B63" s="6">
        <f>B33/(B33+B34+B35)</f>
        <v>0.54342343235675161</v>
      </c>
      <c r="C63" s="6">
        <f t="shared" ref="C63:F63" si="65">C33/(C33+C34+C35)</f>
        <v>0.5484839334977375</v>
      </c>
      <c r="D63" s="6">
        <f t="shared" si="65"/>
        <v>0.54722019358153395</v>
      </c>
      <c r="E63" s="6">
        <f t="shared" si="65"/>
        <v>0.54377729144214049</v>
      </c>
      <c r="F63" s="6">
        <f t="shared" si="65"/>
        <v>0.54391569435119491</v>
      </c>
    </row>
    <row r="64" spans="1:50" x14ac:dyDescent="0.25">
      <c r="A64" t="s">
        <v>52</v>
      </c>
      <c r="B64" s="7">
        <f>(B$16+B$23+B$24)/(B$23+B$24)</f>
        <v>2.4758273937786619</v>
      </c>
      <c r="C64" s="7">
        <f t="shared" ref="C64:F64" si="66">(C$16+C$23+C$24)/(C$23+C$24)</f>
        <v>2.5162503720942819</v>
      </c>
      <c r="D64" s="7">
        <f t="shared" si="66"/>
        <v>2.5669105826265315</v>
      </c>
      <c r="E64" s="7">
        <f t="shared" si="66"/>
        <v>2.4860758094817106</v>
      </c>
      <c r="F64" s="7">
        <f t="shared" si="66"/>
        <v>2.3619936034115137</v>
      </c>
    </row>
    <row r="65" spans="1:6" x14ac:dyDescent="0.25">
      <c r="B65" s="7"/>
      <c r="C65" s="7"/>
      <c r="D65" s="7"/>
      <c r="E65" s="7"/>
      <c r="F65" s="7"/>
    </row>
    <row r="66" spans="1:6" x14ac:dyDescent="0.25">
      <c r="A66" t="s">
        <v>42</v>
      </c>
      <c r="B66" s="7"/>
      <c r="C66" s="7"/>
      <c r="D66" s="7"/>
      <c r="E66" s="7"/>
      <c r="F66" s="7"/>
    </row>
    <row r="67" spans="1:6" x14ac:dyDescent="0.25">
      <c r="A67" t="s">
        <v>53</v>
      </c>
    </row>
    <row r="68" spans="1:6" x14ac:dyDescent="0.25">
      <c r="A68" t="s">
        <v>54</v>
      </c>
    </row>
    <row r="71" spans="1:6" x14ac:dyDescent="0.25">
      <c r="B71" s="4"/>
      <c r="C71" s="4"/>
      <c r="D71" s="4"/>
    </row>
    <row r="76" spans="1:6" x14ac:dyDescent="0.25">
      <c r="A76" s="2"/>
      <c r="B76" s="5"/>
      <c r="C76" s="5"/>
      <c r="D76" s="5"/>
      <c r="E76" s="5"/>
      <c r="F76" s="5"/>
    </row>
    <row r="77" spans="1:6" x14ac:dyDescent="0.25">
      <c r="B77" s="7"/>
      <c r="C77" s="7"/>
      <c r="D77" s="7"/>
      <c r="E77" s="7"/>
      <c r="F77" s="7"/>
    </row>
    <row r="78" spans="1:6" x14ac:dyDescent="0.25">
      <c r="B78" s="7"/>
      <c r="C78" s="7"/>
      <c r="D78" s="7"/>
      <c r="E78" s="7"/>
      <c r="F78" s="7"/>
    </row>
    <row r="79" spans="1:6" x14ac:dyDescent="0.25">
      <c r="B79" s="7"/>
      <c r="C79" s="7"/>
      <c r="D79" s="7"/>
      <c r="E79" s="7"/>
      <c r="F79" s="7"/>
    </row>
    <row r="80" spans="1:6" x14ac:dyDescent="0.25">
      <c r="B80" s="7"/>
      <c r="C80" s="7"/>
      <c r="D80" s="7"/>
      <c r="E80" s="7"/>
      <c r="F80" s="7"/>
    </row>
    <row r="81" spans="1:7" x14ac:dyDescent="0.25">
      <c r="B81" s="7"/>
      <c r="C81" s="7"/>
      <c r="D81" s="7"/>
      <c r="E81" s="7"/>
      <c r="F81" s="7"/>
    </row>
    <row r="82" spans="1:7" x14ac:dyDescent="0.25">
      <c r="B82" s="7"/>
      <c r="C82" s="7"/>
      <c r="D82" s="7"/>
      <c r="E82" s="7"/>
      <c r="F82" s="7"/>
    </row>
    <row r="83" spans="1:7" x14ac:dyDescent="0.25">
      <c r="B83" s="7"/>
      <c r="C83" s="7"/>
      <c r="D83" s="7"/>
      <c r="E83" s="7"/>
      <c r="F83" s="7"/>
    </row>
    <row r="84" spans="1:7" x14ac:dyDescent="0.25">
      <c r="B84" s="7"/>
      <c r="C84" s="7"/>
      <c r="D84" s="7"/>
      <c r="E84" s="7"/>
      <c r="F84" s="7"/>
    </row>
    <row r="85" spans="1:7" x14ac:dyDescent="0.25">
      <c r="B85" s="7"/>
      <c r="C85" s="7"/>
      <c r="D85" s="7"/>
      <c r="E85" s="7"/>
      <c r="F85" s="7"/>
    </row>
    <row r="87" spans="1:7" x14ac:dyDescent="0.25">
      <c r="A87" s="2"/>
    </row>
    <row r="89" spans="1:7" x14ac:dyDescent="0.25">
      <c r="G89" s="5"/>
    </row>
    <row r="90" spans="1:7" x14ac:dyDescent="0.25">
      <c r="G90" s="8"/>
    </row>
    <row r="91" spans="1:7" x14ac:dyDescent="0.25">
      <c r="G91" s="8"/>
    </row>
    <row r="92" spans="1:7" x14ac:dyDescent="0.25">
      <c r="G92" s="8"/>
    </row>
    <row r="107" spans="8:12" x14ac:dyDescent="0.25">
      <c r="H107" s="7"/>
      <c r="I107" s="7"/>
    </row>
    <row r="108" spans="8:12" x14ac:dyDescent="0.25">
      <c r="H108" s="7"/>
      <c r="I108" s="7"/>
    </row>
    <row r="112" spans="8:12" x14ac:dyDescent="0.25">
      <c r="J112" s="7"/>
      <c r="K112" s="7"/>
      <c r="L112" s="7"/>
    </row>
    <row r="113" spans="10:12" x14ac:dyDescent="0.25">
      <c r="J113" s="7"/>
      <c r="K113" s="7"/>
      <c r="L113" s="7"/>
    </row>
  </sheetData>
  <pageMargins left="0.7" right="0.7" top="0.75" bottom="0.75" header="0.3" footer="0.3"/>
  <pageSetup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School of Business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Colleen Lacey</cp:lastModifiedBy>
  <cp:lastPrinted>2016-02-05T00:18:14Z</cp:lastPrinted>
  <dcterms:created xsi:type="dcterms:W3CDTF">2016-02-03T21:40:36Z</dcterms:created>
  <dcterms:modified xsi:type="dcterms:W3CDTF">2016-03-09T15:21:01Z</dcterms:modified>
</cp:coreProperties>
</file>